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mmattiuzzo_os_uniroma3_it/Documents/Desktop/"/>
    </mc:Choice>
  </mc:AlternateContent>
  <xr:revisionPtr revIDLastSave="1" documentId="8_{A0D711C8-64FF-4464-8329-9CFD8DE4B2F4}" xr6:coauthVersionLast="36" xr6:coauthVersionMax="36" xr10:uidLastSave="{A70F6774-A752-4EAD-ADE0-AFDDC6436632}"/>
  <bookViews>
    <workbookView xWindow="0" yWindow="0" windowWidth="23040" windowHeight="8484" activeTab="4" xr2:uid="{F5253BBF-048B-47A0-8498-72FF943FD14A}"/>
  </bookViews>
  <sheets>
    <sheet name="2016" sheetId="5" r:id="rId1"/>
    <sheet name="2017" sheetId="1" r:id="rId2"/>
    <sheet name="2018" sheetId="2" r:id="rId3"/>
    <sheet name="2019" sheetId="3" r:id="rId4"/>
    <sheet name="2020" sheetId="4" r:id="rId5"/>
  </sheets>
  <externalReferences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4" l="1"/>
  <c r="I27" i="4"/>
  <c r="H27" i="4"/>
  <c r="G27" i="4"/>
  <c r="F27" i="4"/>
  <c r="H26" i="4"/>
  <c r="F26" i="4"/>
  <c r="H25" i="4"/>
  <c r="G25" i="4"/>
  <c r="I25" i="4" s="1"/>
  <c r="J25" i="4" s="1"/>
  <c r="F25" i="4"/>
  <c r="I24" i="4"/>
  <c r="H24" i="4"/>
  <c r="G24" i="4"/>
  <c r="F24" i="4"/>
  <c r="J23" i="4"/>
  <c r="L22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H17" i="4"/>
  <c r="G17" i="4"/>
  <c r="I17" i="4" s="1"/>
  <c r="J17" i="4" s="1"/>
  <c r="F17" i="4"/>
  <c r="J16" i="4"/>
  <c r="H15" i="4"/>
  <c r="G15" i="4"/>
  <c r="F15" i="4"/>
  <c r="I13" i="4"/>
  <c r="H13" i="4"/>
  <c r="F13" i="4"/>
  <c r="I12" i="4"/>
  <c r="H12" i="4"/>
  <c r="I11" i="4"/>
  <c r="G11" i="4"/>
  <c r="I10" i="4"/>
  <c r="H10" i="4"/>
  <c r="G10" i="4"/>
  <c r="F10" i="4"/>
  <c r="H9" i="4"/>
  <c r="I8" i="4"/>
  <c r="J8" i="4" s="1"/>
  <c r="H8" i="4"/>
  <c r="F8" i="4"/>
  <c r="I7" i="4"/>
  <c r="H7" i="4"/>
  <c r="G7" i="4"/>
  <c r="F7" i="4"/>
  <c r="J21" i="4" l="1"/>
  <c r="J20" i="4"/>
  <c r="J19" i="4"/>
  <c r="J22" i="4"/>
  <c r="J24" i="4"/>
  <c r="U28" i="3"/>
  <c r="T28" i="3"/>
  <c r="V28" i="3" s="1"/>
  <c r="P27" i="3"/>
  <c r="U27" i="3" s="1"/>
  <c r="U26" i="3"/>
  <c r="T26" i="3"/>
  <c r="V26" i="3" s="1"/>
  <c r="U25" i="3"/>
  <c r="T25" i="3"/>
  <c r="V25" i="3" s="1"/>
  <c r="X24" i="3"/>
  <c r="U24" i="3"/>
  <c r="T24" i="3"/>
  <c r="V24" i="3" s="1"/>
  <c r="X23" i="3"/>
  <c r="W23" i="3"/>
  <c r="U23" i="3"/>
  <c r="T23" i="3"/>
  <c r="V23" i="3" s="1"/>
  <c r="X22" i="3"/>
  <c r="W22" i="3"/>
  <c r="U22" i="3"/>
  <c r="T22" i="3"/>
  <c r="V22" i="3" s="1"/>
  <c r="X21" i="3"/>
  <c r="W21" i="3"/>
  <c r="U21" i="3"/>
  <c r="T21" i="3"/>
  <c r="V21" i="3" s="1"/>
  <c r="X20" i="3"/>
  <c r="W20" i="3"/>
  <c r="U20" i="3"/>
  <c r="T20" i="3"/>
  <c r="V20" i="3" s="1"/>
  <c r="X19" i="3"/>
  <c r="W19" i="3"/>
  <c r="U19" i="3"/>
  <c r="T19" i="3"/>
  <c r="V19" i="3" s="1"/>
  <c r="AD18" i="3"/>
  <c r="AC18" i="3"/>
  <c r="X18" i="3"/>
  <c r="W18" i="3"/>
  <c r="U18" i="3"/>
  <c r="T18" i="3"/>
  <c r="V18" i="3" s="1"/>
  <c r="AD17" i="3"/>
  <c r="AC17" i="3"/>
  <c r="X17" i="3"/>
  <c r="W17" i="3"/>
  <c r="U17" i="3"/>
  <c r="T17" i="3"/>
  <c r="V17" i="3" s="1"/>
  <c r="AD16" i="3"/>
  <c r="AC16" i="3"/>
  <c r="X16" i="3"/>
  <c r="W16" i="3"/>
  <c r="U16" i="3"/>
  <c r="T16" i="3"/>
  <c r="V16" i="3" s="1"/>
  <c r="AD15" i="3"/>
  <c r="AC15" i="3"/>
  <c r="X15" i="3"/>
  <c r="W15" i="3"/>
  <c r="U15" i="3"/>
  <c r="T15" i="3"/>
  <c r="V15" i="3" s="1"/>
  <c r="AD14" i="3"/>
  <c r="AC14" i="3"/>
  <c r="X14" i="3"/>
  <c r="W14" i="3"/>
  <c r="V14" i="3"/>
  <c r="U14" i="3"/>
  <c r="AD13" i="3"/>
  <c r="AC13" i="3"/>
  <c r="X13" i="3"/>
  <c r="W13" i="3"/>
  <c r="U13" i="3"/>
  <c r="T13" i="3"/>
  <c r="V13" i="3" s="1"/>
  <c r="AD12" i="3"/>
  <c r="AC12" i="3"/>
  <c r="X12" i="3"/>
  <c r="W12" i="3"/>
  <c r="U12" i="3"/>
  <c r="T12" i="3"/>
  <c r="V12" i="3" s="1"/>
  <c r="AD11" i="3"/>
  <c r="AC11" i="3"/>
  <c r="X11" i="3"/>
  <c r="W11" i="3"/>
  <c r="R11" i="3"/>
  <c r="T11" i="3" s="1"/>
  <c r="N11" i="3"/>
  <c r="M11" i="3"/>
  <c r="L11" i="3"/>
  <c r="U11" i="3" s="1"/>
  <c r="AD10" i="3"/>
  <c r="AC10" i="3"/>
  <c r="X10" i="3"/>
  <c r="W10" i="3"/>
  <c r="U10" i="3"/>
  <c r="T10" i="3"/>
  <c r="V10" i="3" s="1"/>
  <c r="AD9" i="3"/>
  <c r="AC9" i="3"/>
  <c r="X9" i="3"/>
  <c r="W9" i="3"/>
  <c r="U9" i="3"/>
  <c r="T9" i="3"/>
  <c r="V9" i="3" s="1"/>
  <c r="AD8" i="3"/>
  <c r="AC8" i="3"/>
  <c r="X8" i="3"/>
  <c r="W8" i="3"/>
  <c r="U8" i="3"/>
  <c r="T8" i="3"/>
  <c r="V8" i="3" s="1"/>
  <c r="AD7" i="3"/>
  <c r="AC7" i="3"/>
  <c r="X7" i="3"/>
  <c r="W7" i="3"/>
  <c r="U7" i="3"/>
  <c r="R7" i="3"/>
  <c r="T7" i="3" s="1"/>
  <c r="V7" i="3" s="1"/>
  <c r="G7" i="3"/>
  <c r="V11" i="3" l="1"/>
  <c r="T27" i="3"/>
  <c r="V27" i="3" s="1"/>
  <c r="H13" i="5"/>
  <c r="H8" i="5"/>
  <c r="F13" i="2" l="1"/>
</calcChain>
</file>

<file path=xl/sharedStrings.xml><?xml version="1.0" encoding="utf-8"?>
<sst xmlns="http://schemas.openxmlformats.org/spreadsheetml/2006/main" count="602" uniqueCount="179">
  <si>
    <t>UNIVERSITA' DEGLI STUDI ROMA TRE</t>
  </si>
  <si>
    <t>Riferimento dati: Bilanci 2017</t>
  </si>
  <si>
    <t>Attivo Circolante / Passività Correnti</t>
  </si>
  <si>
    <t>Attivo Circolante / Totale Passività</t>
  </si>
  <si>
    <t>N.</t>
  </si>
  <si>
    <t>Ente / Società</t>
  </si>
  <si>
    <t>C.F. / P.I.</t>
  </si>
  <si>
    <t>Tipologia</t>
  </si>
  <si>
    <t>tipo contabilità</t>
  </si>
  <si>
    <t>Patrimonio Netto
al 31/12/2017</t>
  </si>
  <si>
    <t>Capitale Sociale / Fondo Consortile
al 31/12/2017</t>
  </si>
  <si>
    <t>Risultato Economico (Avanzo/Disavanzo di Amministrazione o Utile/Perdita di Esercizio) al 31/12/2017</t>
  </si>
  <si>
    <t>Partecipazione patrimoniale dell'università</t>
  </si>
  <si>
    <t>%
capitale
posseduta</t>
  </si>
  <si>
    <t>Eventuale contributo annuo da parte dell'Università</t>
  </si>
  <si>
    <t>Attivo Circolante (COEP) - Residui Attivi +Fondo di Cassa (COFI)</t>
  </si>
  <si>
    <t>Crediti esigibili oltre l'esercizio successivo (COEP) Residui Attivi per crediti oltre l'es. (COFI)</t>
  </si>
  <si>
    <t>Risconti e ratei attivi (COEP)</t>
  </si>
  <si>
    <t>Debiti verso banche a breve (COEP) - Anticipazioni banche a breve (COFI)</t>
  </si>
  <si>
    <t>Altri debiti a breve + Fondi rischi e spese (COEP) - Residui passivi a breve (COFI)</t>
  </si>
  <si>
    <t>Debiti a medio / lungo verso banche (COEP) - Residui passivi per debiti verso banche a medio / lungo (COFI)</t>
  </si>
  <si>
    <t>Altri debiti a medio / lungo (COEP) + TFR - Residui passivi per debiti a medio / lungo (COFI)</t>
  </si>
  <si>
    <t>Risconti e ratei passivi (COEP)</t>
  </si>
  <si>
    <t>Totale debiti + fondi + TFR (COEP) - Totale residui passivi (COFI)</t>
  </si>
  <si>
    <t>Indice sostenibilità indebitamento a breve rispetto attivo circolante / residui attivi</t>
  </si>
  <si>
    <t>Indice sostenibilità totale indebitamento rispetto attivo circolante / residui attivi</t>
  </si>
  <si>
    <t>NOTE</t>
  </si>
  <si>
    <r>
      <rPr>
        <b/>
        <u/>
        <sz val="10"/>
        <color theme="1"/>
        <rFont val="Arial Narrow"/>
        <family val="2"/>
      </rPr>
      <t>Rappresentanti RM3 in Ente/Società 2017</t>
    </r>
    <r>
      <rPr>
        <b/>
        <sz val="9"/>
        <color theme="1"/>
        <rFont val="Arial Narrow"/>
        <family val="2"/>
      </rPr>
      <t xml:space="preserve">
- nominativo
- C.F.
- tipologia incarico</t>
    </r>
  </si>
  <si>
    <r>
      <rPr>
        <b/>
        <sz val="10"/>
        <color theme="1"/>
        <rFont val="Arial Narrow"/>
        <family val="2"/>
      </rPr>
      <t>Incarico 2017</t>
    </r>
    <r>
      <rPr>
        <b/>
        <sz val="9"/>
        <color theme="1"/>
        <rFont val="Arial Narrow"/>
        <family val="2"/>
      </rPr>
      <t xml:space="preserve">
- gratuito (€ 0,00)
- remunerato (€ x,xx)</t>
    </r>
  </si>
  <si>
    <t>TRS SRL - IN LIQUIDAZIONE</t>
  </si>
  <si>
    <t>Società di Capitali
s.r.l.</t>
  </si>
  <si>
    <t>COEP</t>
  </si>
  <si>
    <t>CINECA CONSORZIO INTERUNIVERSITARIO</t>
  </si>
  <si>
    <t>00317740371</t>
  </si>
  <si>
    <t>Consorzio Interuniversitario</t>
  </si>
  <si>
    <t xml:space="preserve">Atzeni Paolo - membro assemblea consortile (CdA) </t>
  </si>
  <si>
    <t>€ 427,61 gettoni presenza</t>
  </si>
  <si>
    <t xml:space="preserve">ALMALAUREA - CONSORZIO INTERUNIVERSITARIO </t>
  </si>
  <si>
    <t>02120391202</t>
  </si>
  <si>
    <t>bilancio 2017 è il primo in coep. Ricalcolati i valori delle partecipazioni secondo il metodo del patrimonio netto. RM3 = 1,31% = 16.997,04</t>
  </si>
  <si>
    <t>Margottini Massimo - membro CdA</t>
  </si>
  <si>
    <t>gratuito</t>
  </si>
  <si>
    <t xml:space="preserve">CNISM - CONSORZIO NAZIONALE INTERUNIVERSITARIO PER LE SCIENZE FISICHE DELLA MATERIA </t>
  </si>
  <si>
    <t>COFI</t>
  </si>
  <si>
    <t xml:space="preserve">CNIT - CONSORZIO NAZIONALE INTEUNIVERSITARIO PER LE TELECOMUNICAZIONI  </t>
  </si>
  <si>
    <t>Giunta Gaetano - membro CdA</t>
  </si>
  <si>
    <t xml:space="preserve">CUIA - CONSORZIO INTERUNIVERSITARIO ITALIANO PER L'ARGENTINA </t>
  </si>
  <si>
    <t xml:space="preserve">ICON - CONSORZIO ITALIAN CULTURA ON THE NET </t>
  </si>
  <si>
    <t>01478280504</t>
  </si>
  <si>
    <t>Orletti Franca - membro CdA</t>
  </si>
  <si>
    <t xml:space="preserve">INBB - ISTITUTO NAZIONALE BIOSTRUTTURE E BIOSISTEMI </t>
  </si>
  <si>
    <t>04482271006</t>
  </si>
  <si>
    <t xml:space="preserve">rappresentanti di ateneo all'interno degli organi di governo del consorzio non sono previsti da statuto.
Giovanni Antonini presidente del Consorzio è un prof rm3 in pensione? </t>
  </si>
  <si>
    <t>INSTM - CONSORZIO INTERUNIVERSITARIO NAZIONALE PER LA SCIENZA E TECNOLOGIA DEI MATERIALI</t>
  </si>
  <si>
    <t xml:space="preserve">Bemporad Edoardo - membro CdA </t>
  </si>
  <si>
    <t xml:space="preserve">NITEL - CONSORZIO NAZIONALE INTERUNIVERSITARIO PER I TRASPORTI E LA LOGISTICA </t>
  </si>
  <si>
    <t>01401990997</t>
  </si>
  <si>
    <t>Marcucci Edoardo - membro CdA 2017
Stefano Carrese - membro CdA 2018</t>
  </si>
  <si>
    <t>UNIFORMA - CONSORZIO  INTERUNIVERSITARIO CON ATTIVITÁ ESTERNA PER L’AGGIORNAMENTO PROFESSIONALE IN CAMPO GIURIDICO</t>
  </si>
  <si>
    <t>01803930997</t>
  </si>
  <si>
    <t>Serges Giovanni - membro CdA</t>
  </si>
  <si>
    <t xml:space="preserve">CINFAI - CONSORZIO INTERUNIVERSITARIO NAZIONALE PER LA FISICA DELLE ATMOSFERE E DELLE IDROSFERE </t>
  </si>
  <si>
    <t>NP</t>
  </si>
  <si>
    <t xml:space="preserve">CUEIM - CONSORZIO UNIVERSITARIO DI ECONOMIA INDUSTRIALE E MANAGERIALE </t>
  </si>
  <si>
    <t>01564110235</t>
  </si>
  <si>
    <t xml:space="preserve">DITNE SCARL - DISTRETTO TECNOLOGICO NAZIONALE SULL'ENERGIA </t>
  </si>
  <si>
    <t>02216850749</t>
  </si>
  <si>
    <t>Società di Capitali
s.c.a r.l.</t>
  </si>
  <si>
    <t>Jacobone Francesca Alessandra
 - Presidente CdA</t>
  </si>
  <si>
    <t xml:space="preserve">MATRIS - CONSORZIO MATERIALI TECNOLOGIE RIVESTIMENTI E INGEGNERIA DELLE SUPERFICI </t>
  </si>
  <si>
    <t>08517961002</t>
  </si>
  <si>
    <t>Consorzio</t>
  </si>
  <si>
    <t>RADIOLABS - CONSORZIO UNIVERSITÁ INDUSTRIA LABORATORI DI RADIOCOMUNICAZIONI</t>
  </si>
  <si>
    <t>06428501008</t>
  </si>
  <si>
    <t xml:space="preserve">Neri Alessandro - consigliere CdA 2017 carica cessata nel 2018
</t>
  </si>
  <si>
    <t>ULISSE - CONSORZIO TRA UNIVERSITÁ E LABORATORI INDUSTRIALI PER LO SVILUPPO DI SISTEMI ELETTRONICI</t>
  </si>
  <si>
    <t>Schettini Giuseppe - membro CdA</t>
  </si>
  <si>
    <t>SAFER - CONSORZIO INTERUNIVERSITARIO SICUREZZA AFFIDABILITA' ESPOSIZIONE RISCHIO</t>
  </si>
  <si>
    <t>CRED - CONSORZIO REGIONI DIGITALI</t>
  </si>
  <si>
    <t>dal 2016 Atzeni</t>
  </si>
  <si>
    <t xml:space="preserve">FONDAZIONE MARUFFI - ROMA TRE </t>
  </si>
  <si>
    <t>Fondazione</t>
  </si>
  <si>
    <t>FONDAZIONE UNIVERSITA' DEGLI STUDI ROMA TRE - Education</t>
  </si>
  <si>
    <t>Dominici Gaetano
D'Alessio Gianfranco
Sciuto Salvatore Andrea
Margottini
Zeno Zencovich Vincenzo</t>
  </si>
  <si>
    <t>FONDAZIONE ROMA TRE TEATRO
PALLADIUM</t>
  </si>
  <si>
    <t>Aversano Luca
Cantù Francesca
Leonelli Giuseppe
Zagarrio Vito
Carandini Silvia</t>
  </si>
  <si>
    <t>FONDAZIONE ITS Roberto Rossellini</t>
  </si>
  <si>
    <t>97616040586</t>
  </si>
  <si>
    <t>Di Giacinto Maura  nel consiglio scientifico</t>
  </si>
  <si>
    <t>Fondazione TICHE - Technological Innovation in Cultural Heritage</t>
  </si>
  <si>
    <t>CdA RM3 delibera 12/12/2017. Atto costitutivo 22/12/2017 art. 9 dice che il I esercizio termina il 31/12/2018</t>
  </si>
  <si>
    <t>Riferimento dati: Bilanci 2018</t>
  </si>
  <si>
    <t>L'Ateneo al 31/12/2018 possiede le seguenti partecipazioni in Societa' / Consorzi / Fondazioni</t>
  </si>
  <si>
    <t>Patrimonio Netto
al 31/12/2018</t>
  </si>
  <si>
    <t>Capitale Sociale / Fondo Consortile
al 31/12/2018</t>
  </si>
  <si>
    <t>Risultato Economico (Avanzo/Disavanzo di Amministrazione o Utile/Perdita di Esercizio) al 31/12/2018</t>
  </si>
  <si>
    <r>
      <rPr>
        <b/>
        <u/>
        <sz val="10"/>
        <color theme="1"/>
        <rFont val="Arial Narrow"/>
        <family val="2"/>
      </rPr>
      <t>Rappresentanti RM3 in Ente/Società 2018</t>
    </r>
    <r>
      <rPr>
        <b/>
        <sz val="9"/>
        <color theme="1"/>
        <rFont val="Arial Narrow"/>
        <family val="2"/>
      </rPr>
      <t xml:space="preserve">
- nominativo
- C.F.
- tipologia incarico</t>
    </r>
  </si>
  <si>
    <r>
      <rPr>
        <b/>
        <sz val="10"/>
        <color theme="1"/>
        <rFont val="Arial Narrow"/>
        <family val="2"/>
      </rPr>
      <t>Incarico 2018</t>
    </r>
    <r>
      <rPr>
        <b/>
        <sz val="9"/>
        <color theme="1"/>
        <rFont val="Arial Narrow"/>
        <family val="2"/>
      </rPr>
      <t xml:space="preserve">
- gratuito (€ 0,00)
- remunerato (€ x,xx)</t>
    </r>
  </si>
  <si>
    <t>Riferimento dati: Bilanci 2016</t>
  </si>
  <si>
    <t>Patrimonio Netto
al 31/12/2016</t>
  </si>
  <si>
    <t>Capitale Sociale / Fondo Consortile
al 31/12/2016</t>
  </si>
  <si>
    <t>Risultato Economico (Avanzo/Disavanzo di Amministrazione o Utile/Perdita di Esercizio) al 31/12/2016</t>
  </si>
  <si>
    <t>CONSORZIO PALLADIUM-QUIRINETTA</t>
  </si>
  <si>
    <t>Riferimento dati: Bilanci 2019</t>
  </si>
  <si>
    <t>L'Ateneo al 31/12/2019 possiede le seguenti partecipazioni in Societa' / Consorzi / Fondazioni</t>
  </si>
  <si>
    <t>Patrimonio Netto
al 31/12/2019</t>
  </si>
  <si>
    <t>Capitale Sociale / Fondo Consortile
al 31/12/2019</t>
  </si>
  <si>
    <t>Risultato Economico (Avanzo/Disavanzo di Amministrazione o Utile/Perdita di Esercizio) al 31/12/2019</t>
  </si>
  <si>
    <r>
      <t xml:space="preserve">prof. Riccardo </t>
    </r>
    <r>
      <rPr>
        <b/>
        <sz val="7"/>
        <rFont val="Gadugi"/>
        <family val="2"/>
      </rPr>
      <t>TORLONE -</t>
    </r>
    <r>
      <rPr>
        <sz val="7"/>
        <rFont val="Gadugi"/>
        <family val="2"/>
      </rPr>
      <t xml:space="preserve"> rappresentante dell'Ateneo nell'Assemblea Consortile - CdA del 20.12.2017 - </t>
    </r>
    <r>
      <rPr>
        <b/>
        <sz val="7"/>
        <rFont val="Gadugi"/>
        <family val="2"/>
      </rPr>
      <t>DIP. DI INGEGNERIA</t>
    </r>
  </si>
  <si>
    <r>
      <t xml:space="preserve">Prof. </t>
    </r>
    <r>
      <rPr>
        <b/>
        <sz val="7"/>
        <rFont val="Gadugi"/>
        <family val="2"/>
      </rPr>
      <t>Federico Roberto ANTONELLI</t>
    </r>
    <r>
      <rPr>
        <sz val="7"/>
        <rFont val="Gadugi"/>
        <family val="2"/>
      </rPr>
      <t xml:space="preserve"> -</t>
    </r>
    <r>
      <rPr>
        <b/>
        <sz val="7"/>
        <rFont val="Gadugi"/>
        <family val="2"/>
      </rPr>
      <t xml:space="preserve"> DIP. SCIENZE POLITICHE</t>
    </r>
  </si>
  <si>
    <r>
      <t xml:space="preserve">prof. </t>
    </r>
    <r>
      <rPr>
        <b/>
        <sz val="7"/>
        <rFont val="Gadugi"/>
        <family val="2"/>
      </rPr>
      <t>Giuseppe SCHETTINI</t>
    </r>
    <r>
      <rPr>
        <sz val="7"/>
        <rFont val="Gadugi"/>
        <family val="2"/>
      </rPr>
      <t xml:space="preserve">, rappr.te assemblea dei soci triennio 2020-2022 - </t>
    </r>
    <r>
      <rPr>
        <b/>
        <sz val="7"/>
        <rFont val="Gadugi"/>
        <family val="2"/>
      </rPr>
      <t>DIP. DI INGEGNERIA</t>
    </r>
  </si>
  <si>
    <r>
      <t xml:space="preserve">Prof.ssa </t>
    </r>
    <r>
      <rPr>
        <b/>
        <sz val="7"/>
        <rFont val="Gadugi"/>
        <family val="2"/>
      </rPr>
      <t>Ilde CONSALES</t>
    </r>
    <r>
      <rPr>
        <sz val="7"/>
        <rFont val="Gadugi"/>
        <family val="2"/>
      </rPr>
      <t xml:space="preserve"> - rappr.te Assemblea dei Soci quadriennio 2019-2023 - </t>
    </r>
    <r>
      <rPr>
        <b/>
        <sz val="7"/>
        <rFont val="Gadugi"/>
        <family val="2"/>
      </rPr>
      <t xml:space="preserve">DIP. STUDI UMANISTICI </t>
    </r>
  </si>
  <si>
    <r>
      <t xml:space="preserve">Prof. </t>
    </r>
    <r>
      <rPr>
        <b/>
        <sz val="7"/>
        <rFont val="Gadugi"/>
        <family val="2"/>
      </rPr>
      <t>Giovanni ANTONINI</t>
    </r>
    <r>
      <rPr>
        <sz val="7"/>
        <rFont val="Gadugi"/>
        <family val="2"/>
      </rPr>
      <t xml:space="preserve"> - Pres.Consorzio e membro del Consiglio Direttivo -  direttore sezione di ricerca presso il Dip.Scienze Roma Tre </t>
    </r>
  </si>
  <si>
    <r>
      <t xml:space="preserve">Prof.  </t>
    </r>
    <r>
      <rPr>
        <b/>
        <sz val="7"/>
        <rFont val="Gadugi"/>
        <family val="2"/>
      </rPr>
      <t>Marco SEBASTIANI</t>
    </r>
    <r>
      <rPr>
        <sz val="7"/>
        <rFont val="Gadugi"/>
        <family val="2"/>
      </rPr>
      <t xml:space="preserve">,  nel Consiglio Direttivo - quadriennio 2020 - 2024 - </t>
    </r>
    <r>
      <rPr>
        <b/>
        <sz val="7"/>
        <rFont val="Gadugi"/>
        <family val="2"/>
      </rPr>
      <t>DIP. INGEGNERIA</t>
    </r>
  </si>
  <si>
    <r>
      <rPr>
        <sz val="7"/>
        <rFont val="Gadugi"/>
        <family val="2"/>
      </rPr>
      <t xml:space="preserve">prof. </t>
    </r>
    <r>
      <rPr>
        <b/>
        <sz val="7"/>
        <rFont val="Gadugi"/>
        <family val="2"/>
      </rPr>
      <t xml:space="preserve">Stefano CARRESE </t>
    </r>
    <r>
      <rPr>
        <sz val="7"/>
        <rFont val="Gadugi"/>
        <family val="2"/>
      </rPr>
      <t>rapp.te Assemblea dei Soci dal 2018</t>
    </r>
    <r>
      <rPr>
        <b/>
        <sz val="7"/>
        <rFont val="Gadugi"/>
        <family val="2"/>
      </rPr>
      <t xml:space="preserve"> - DIP. INGEGNERIA</t>
    </r>
  </si>
  <si>
    <t>L'esercizio inizia il 1 settembre e termina il 31 agosto di ogni anno.Il bilancio 2019 approvato a fine anno. I dati sono quelli 2018</t>
  </si>
  <si>
    <r>
      <t xml:space="preserve">Prof. </t>
    </r>
    <r>
      <rPr>
        <b/>
        <sz val="7"/>
        <rFont val="Gadugi"/>
        <family val="2"/>
      </rPr>
      <t>Giovanni SERGES</t>
    </r>
    <r>
      <rPr>
        <sz val="7"/>
        <rFont val="Gadugi"/>
        <family val="2"/>
      </rPr>
      <t xml:space="preserve">  (Consiglio Direttivo) - </t>
    </r>
    <r>
      <rPr>
        <b/>
        <sz val="7"/>
        <rFont val="Gadugi"/>
        <family val="2"/>
      </rPr>
      <t>DIPARTIMENTO DI GIURISPRUDENZA</t>
    </r>
  </si>
  <si>
    <r>
      <t xml:space="preserve">prof. </t>
    </r>
    <r>
      <rPr>
        <b/>
        <sz val="7"/>
        <rFont val="Gadugi"/>
        <family val="2"/>
      </rPr>
      <t xml:space="preserve">Roberto CAMUSSI </t>
    </r>
    <r>
      <rPr>
        <sz val="7"/>
        <rFont val="Gadugi"/>
        <family val="2"/>
      </rPr>
      <t xml:space="preserve">presso il Comitato di Indirizzo - </t>
    </r>
    <r>
      <rPr>
        <b/>
        <sz val="7"/>
        <rFont val="Gadugi"/>
        <family val="2"/>
      </rPr>
      <t>DIPARTIMENTO DI INGEGNERIA</t>
    </r>
  </si>
  <si>
    <r>
      <t xml:space="preserve">Prof. </t>
    </r>
    <r>
      <rPr>
        <b/>
        <sz val="7"/>
        <rFont val="Gadugi"/>
        <family val="2"/>
      </rPr>
      <t>Edoardo BEMPORAD</t>
    </r>
    <r>
      <rPr>
        <sz val="7"/>
        <rFont val="Gadugi"/>
        <family val="2"/>
      </rPr>
      <t xml:space="preserve"> nel CdA del Consorzio - </t>
    </r>
    <r>
      <rPr>
        <b/>
        <sz val="7"/>
        <rFont val="Gadugi"/>
        <family val="2"/>
      </rPr>
      <t>DIPARTIMENTO DI INGEGNERIA</t>
    </r>
  </si>
  <si>
    <t>-</t>
  </si>
  <si>
    <r>
      <t xml:space="preserve">Prof. </t>
    </r>
    <r>
      <rPr>
        <b/>
        <sz val="7"/>
        <rFont val="Gadugi"/>
        <family val="2"/>
      </rPr>
      <t xml:space="preserve">Alessandro NERI - Presidente del Consorzio; </t>
    </r>
    <r>
      <rPr>
        <sz val="7"/>
        <rFont val="Gadugi"/>
        <family val="2"/>
      </rPr>
      <t xml:space="preserve">Prof. Alessandro </t>
    </r>
    <r>
      <rPr>
        <b/>
        <sz val="7"/>
        <rFont val="Gadugi"/>
        <family val="2"/>
      </rPr>
      <t>Toscano</t>
    </r>
    <r>
      <rPr>
        <sz val="7"/>
        <rFont val="Gadugi"/>
        <family val="2"/>
      </rPr>
      <t xml:space="preserve"> (CdA) - Proff. Filiberto Bilotti e Patrizio Campisi (Consiglio Scientifico) cariche rinnovate con CdA 28.03.17 per il triennio 2017/2020 - </t>
    </r>
    <r>
      <rPr>
        <b/>
        <sz val="7"/>
        <rFont val="Gadugi"/>
        <family val="2"/>
      </rPr>
      <t>DIPARTIMENTO DI INGEGNERIA</t>
    </r>
  </si>
  <si>
    <r>
      <t xml:space="preserve">Prof. Giuseppe </t>
    </r>
    <r>
      <rPr>
        <b/>
        <sz val="7"/>
        <rFont val="Gadugi"/>
        <family val="2"/>
      </rPr>
      <t>SCHETTINI</t>
    </r>
    <r>
      <rPr>
        <sz val="7"/>
        <rFont val="Gadugi"/>
        <family val="2"/>
      </rPr>
      <t xml:space="preserve"> - mandato ottobre 2014 -ottobre 2017 (negli anni varie deleghe ad hoc a Francesca Di  Giorgio) - </t>
    </r>
    <r>
      <rPr>
        <b/>
        <sz val="7"/>
        <rFont val="Gadugi"/>
        <family val="2"/>
      </rPr>
      <t>DIPARTIMENTO DI INGEGNERIA</t>
    </r>
  </si>
  <si>
    <r>
      <t xml:space="preserve">Prof. </t>
    </r>
    <r>
      <rPr>
        <b/>
        <sz val="7"/>
        <rFont val="Gadugi"/>
        <family val="2"/>
      </rPr>
      <t>Maurizio PATRIGNANI</t>
    </r>
    <r>
      <rPr>
        <sz val="7"/>
        <rFont val="Gadugi"/>
        <family val="2"/>
      </rPr>
      <t xml:space="preserve"> - Consiglio Direttivo Consorzio da gennaio 2020 - </t>
    </r>
    <r>
      <rPr>
        <b/>
        <sz val="7"/>
        <rFont val="Gadugi"/>
        <family val="2"/>
      </rPr>
      <t>DIP. INGEGNERIA</t>
    </r>
  </si>
  <si>
    <t>FONDAZIONE CASTELLO</t>
  </si>
  <si>
    <t>96417390588</t>
  </si>
  <si>
    <t>Nel 2019 Fondazione Castello bilancio  approvato e inserita da Roma Tre nel Gruppo</t>
  </si>
  <si>
    <t>CINI</t>
  </si>
  <si>
    <t>Roma Tre aderisce nel 2019</t>
  </si>
  <si>
    <t>CISIA</t>
  </si>
  <si>
    <t>Roma Tre aderisce con delibera CdA 29/01/2019</t>
  </si>
  <si>
    <r>
      <t xml:space="preserve">Prof. </t>
    </r>
    <r>
      <rPr>
        <b/>
        <sz val="7"/>
        <rFont val="Gadugi"/>
        <family val="2"/>
      </rPr>
      <t>Fabio CRESCIMBINI</t>
    </r>
    <r>
      <rPr>
        <sz val="7"/>
        <rFont val="Gadugi"/>
        <family val="2"/>
      </rPr>
      <t xml:space="preserve">, Consiglio Direttivo e Giunta del Consorzio - </t>
    </r>
    <r>
      <rPr>
        <b/>
        <sz val="7"/>
        <rFont val="Gadugi"/>
        <family val="2"/>
      </rPr>
      <t>DIP.I INGEGNERIA</t>
    </r>
  </si>
  <si>
    <t>ELMO</t>
  </si>
  <si>
    <t>Roma Tre aderisce maggio 2019</t>
  </si>
  <si>
    <t>Rilevazione Enti / Societa' partecipate 2021</t>
  </si>
  <si>
    <t>Riferimento dati: Bilanci 2020</t>
  </si>
  <si>
    <t>L'Ateneo al 31/12/2020 possiede le seguenti partecipazioni in Societa' / Consorzi / Fondazioni</t>
  </si>
  <si>
    <t>Patrimonio Netto
al 31/12/2020</t>
  </si>
  <si>
    <t>Capitale Sociale / Fondo Consortile
al 31/12/2020</t>
  </si>
  <si>
    <t>Risultato Economico (Avanzo/Disavanzo di Amministrazione o Utile/Perdita di Esercizio) al 31/12/2020</t>
  </si>
  <si>
    <t>Fondazione CASTELLO</t>
  </si>
  <si>
    <t>CISIA - Consorzio Interuniversitario per i sistemi integrati per accesso</t>
  </si>
  <si>
    <t>L'Ateneo al 31/12/2016 detiene le seguenti partecipazioni in Societa' / Consorzi / Fondazioni</t>
  </si>
  <si>
    <t>L'Ateneo al 31/12/2017 detiene le seguenti partecipazioni in Societa' / Consorzi / Fondazioni</t>
  </si>
  <si>
    <t>Rilevazione Enti / Societa' partecipate 2017</t>
  </si>
  <si>
    <t>Rilevazione Enti / Societa' partecipate 2018</t>
  </si>
  <si>
    <t>Rilevazione Enti / Societa' partecipate 2019</t>
  </si>
  <si>
    <t>Rilevazione Enti / Societa' partecipate 2020</t>
  </si>
  <si>
    <t>Consorzio CINI</t>
  </si>
  <si>
    <t>Consorzio ELMO</t>
  </si>
  <si>
    <t>Sito web</t>
  </si>
  <si>
    <t>http://www.uniforma.unige.it/</t>
  </si>
  <si>
    <t>https://www.almalaurea.it/</t>
  </si>
  <si>
    <t>https://www.cineca.it/</t>
  </si>
  <si>
    <t>https://www.cnit.it/</t>
  </si>
  <si>
    <t>https://www.ditne.it/</t>
  </si>
  <si>
    <t>http://www.italicon.education/</t>
  </si>
  <si>
    <t>http://www.inbb.it/</t>
  </si>
  <si>
    <t>https://www.instm.it/</t>
  </si>
  <si>
    <t>http://eccc.c-s-m.it/layout_html_standard/en/consorzio_matris.html</t>
  </si>
  <si>
    <t>https://www.nitel.it/</t>
  </si>
  <si>
    <t>http://www.radiolabs.it/</t>
  </si>
  <si>
    <t>http://consorzioulisse.it/it/</t>
  </si>
  <si>
    <t>http://www.regionidigitali.eu/</t>
  </si>
  <si>
    <t>https://www.consorzio-cini.it/index.php/it/</t>
  </si>
  <si>
    <t>https://www.cisiaonline.it/</t>
  </si>
  <si>
    <t>https://consorzioelmo.it/</t>
  </si>
  <si>
    <t>https://itsrossellini.it</t>
  </si>
  <si>
    <t>https://www.fondazionetiche.it</t>
  </si>
  <si>
    <t>https://www.uniroma3.it/ateneo/fondazioni/</t>
  </si>
  <si>
    <t>Durata</t>
  </si>
  <si>
    <t>31/12/2030 - Art. n. 6 Statuto consortile</t>
  </si>
  <si>
    <t xml:space="preserve">31/12/2050 - Art. n.1 Statuto consortile </t>
  </si>
  <si>
    <t>Rinnovo decennale 1995 - 2005 -2015- 2025 - Art. n. 15 Statuto consortile</t>
  </si>
  <si>
    <t xml:space="preserve">21/01/2029 - Art. n. 2 Statuto consortile </t>
  </si>
  <si>
    <t>31/12/2050 - Art. n. 15 Statuto Consortile</t>
  </si>
  <si>
    <t xml:space="preserve">31/12/2050 - Art. 2 Statuto consortile </t>
  </si>
  <si>
    <t xml:space="preserve">Durata illimitata - Scioglimento e messa in liquidazione ai sensi del Codice Civile </t>
  </si>
  <si>
    <t>31/12/2030 - Art. n. 15 Statuto Consortile</t>
  </si>
  <si>
    <t xml:space="preserve">31/12/2050 - Art. n. 2 Statuto consortile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</si>
</sst>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&quot;€&quot;\ #,##0;[Red]\-&quot;€&quot;\ #,##0"/>
    <numFmt numFmtId="166" formatCode="_-* #,##0.00_-;\-* #,##0.00_-;_-* &quot;-&quot;?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9"/>
      <color theme="1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i/>
      <sz val="9"/>
      <name val="Arial Narrow"/>
      <family val="2"/>
    </font>
    <font>
      <b/>
      <sz val="9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3"/>
      <name val="Arial Narrow"/>
      <family val="2"/>
    </font>
    <font>
      <sz val="10"/>
      <color theme="3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7"/>
      <name val="Gadugi"/>
      <family val="2"/>
    </font>
    <font>
      <b/>
      <sz val="7"/>
      <name val="Gadugi"/>
      <family val="2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sz val="11"/>
      <name val="Gadugi"/>
      <family val="2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u/>
      <sz val="10"/>
      <color rgb="FF0070C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77">
    <xf numFmtId="0" fontId="0" fillId="0" borderId="0" xfId="0"/>
    <xf numFmtId="0" fontId="0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43" fontId="10" fillId="2" borderId="1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wrapText="1"/>
    </xf>
    <xf numFmtId="0" fontId="11" fillId="3" borderId="1" xfId="0" quotePrefix="1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/>
    </xf>
    <xf numFmtId="43" fontId="11" fillId="3" borderId="1" xfId="1" applyFont="1" applyFill="1" applyBorder="1" applyAlignment="1">
      <alignment wrapText="1"/>
    </xf>
    <xf numFmtId="2" fontId="11" fillId="3" borderId="1" xfId="0" applyNumberFormat="1" applyFont="1" applyFill="1" applyBorder="1" applyAlignment="1">
      <alignment wrapText="1"/>
    </xf>
    <xf numFmtId="0" fontId="11" fillId="2" borderId="0" xfId="0" applyFont="1" applyFill="1" applyBorder="1"/>
    <xf numFmtId="0" fontId="10" fillId="2" borderId="1" xfId="0" applyFont="1" applyFill="1" applyBorder="1" applyAlignment="1">
      <alignment wrapText="1"/>
    </xf>
    <xf numFmtId="0" fontId="11" fillId="2" borderId="1" xfId="0" quotePrefix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43" fontId="11" fillId="2" borderId="1" xfId="1" applyFont="1" applyFill="1" applyBorder="1" applyAlignment="1">
      <alignment horizontal="center"/>
    </xf>
    <xf numFmtId="43" fontId="11" fillId="2" borderId="1" xfId="1" applyFont="1" applyFill="1" applyBorder="1"/>
    <xf numFmtId="2" fontId="11" fillId="2" borderId="1" xfId="0" applyNumberFormat="1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left" wrapText="1"/>
    </xf>
    <xf numFmtId="43" fontId="11" fillId="0" borderId="1" xfId="1" applyFont="1" applyFill="1" applyBorder="1" applyAlignment="1">
      <alignment wrapText="1"/>
    </xf>
    <xf numFmtId="43" fontId="11" fillId="2" borderId="1" xfId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10" fillId="4" borderId="1" xfId="0" quotePrefix="1" applyFont="1" applyFill="1" applyBorder="1" applyAlignment="1">
      <alignment horizontal="left" wrapText="1"/>
    </xf>
    <xf numFmtId="0" fontId="11" fillId="4" borderId="1" xfId="0" quotePrefix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/>
    </xf>
    <xf numFmtId="43" fontId="11" fillId="4" borderId="1" xfId="1" applyFont="1" applyFill="1" applyBorder="1" applyAlignment="1">
      <alignment wrapText="1"/>
    </xf>
    <xf numFmtId="2" fontId="11" fillId="4" borderId="1" xfId="0" applyNumberFormat="1" applyFont="1" applyFill="1" applyBorder="1" applyAlignment="1">
      <alignment wrapText="1"/>
    </xf>
    <xf numFmtId="2" fontId="11" fillId="2" borderId="1" xfId="2" applyNumberFormat="1" applyFont="1" applyFill="1" applyBorder="1" applyAlignment="1">
      <alignment wrapText="1"/>
    </xf>
    <xf numFmtId="0" fontId="18" fillId="2" borderId="0" xfId="0" applyFont="1" applyFill="1" applyBorder="1"/>
    <xf numFmtId="43" fontId="11" fillId="2" borderId="1" xfId="1" quotePrefix="1" applyFont="1" applyFill="1" applyBorder="1" applyAlignment="1">
      <alignment horizontal="right" wrapText="1"/>
    </xf>
    <xf numFmtId="0" fontId="11" fillId="0" borderId="0" xfId="0" applyFont="1" applyFill="1" applyBorder="1"/>
    <xf numFmtId="0" fontId="19" fillId="0" borderId="0" xfId="0" applyFont="1" applyFill="1" applyBorder="1"/>
    <xf numFmtId="0" fontId="18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2" fontId="11" fillId="2" borderId="1" xfId="0" quotePrefix="1" applyNumberFormat="1" applyFont="1" applyFill="1" applyBorder="1" applyAlignment="1">
      <alignment horizontal="right" wrapText="1"/>
    </xf>
    <xf numFmtId="43" fontId="5" fillId="2" borderId="1" xfId="1" applyFont="1" applyFill="1" applyBorder="1"/>
    <xf numFmtId="0" fontId="5" fillId="2" borderId="0" xfId="0" applyFont="1" applyFill="1" applyBorder="1"/>
    <xf numFmtId="0" fontId="11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7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/>
    <xf numFmtId="0" fontId="11" fillId="0" borderId="1" xfId="0" applyFont="1" applyFill="1" applyBorder="1" applyAlignment="1">
      <alignment horizontal="center"/>
    </xf>
    <xf numFmtId="43" fontId="5" fillId="0" borderId="1" xfId="1" applyFont="1" applyFill="1" applyBorder="1"/>
    <xf numFmtId="43" fontId="0" fillId="0" borderId="1" xfId="1" applyFont="1" applyFill="1" applyBorder="1"/>
    <xf numFmtId="0" fontId="20" fillId="0" borderId="0" xfId="0" applyFont="1" applyFill="1" applyBorder="1"/>
    <xf numFmtId="43" fontId="22" fillId="0" borderId="1" xfId="1" applyFont="1" applyFill="1" applyBorder="1"/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2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left" wrapText="1"/>
    </xf>
    <xf numFmtId="0" fontId="17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top" wrapText="1"/>
    </xf>
    <xf numFmtId="43" fontId="11" fillId="2" borderId="1" xfId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vertical="center"/>
    </xf>
    <xf numFmtId="43" fontId="5" fillId="5" borderId="1" xfId="1" applyFont="1" applyFill="1" applyBorder="1" applyAlignment="1">
      <alignment horizontal="left" vertical="top"/>
    </xf>
    <xf numFmtId="43" fontId="11" fillId="0" borderId="1" xfId="1" applyFont="1" applyFill="1" applyBorder="1" applyAlignment="1">
      <alignment vertical="center" wrapText="1"/>
    </xf>
    <xf numFmtId="43" fontId="11" fillId="2" borderId="1" xfId="1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right" vertical="center" wrapText="1"/>
    </xf>
    <xf numFmtId="165" fontId="5" fillId="5" borderId="1" xfId="1" applyNumberFormat="1" applyFont="1" applyFill="1" applyBorder="1" applyAlignment="1">
      <alignment horizontal="left" vertical="top"/>
    </xf>
    <xf numFmtId="43" fontId="11" fillId="2" borderId="1" xfId="1" quotePrefix="1" applyFont="1" applyFill="1" applyBorder="1" applyAlignment="1">
      <alignment horizontal="right" vertical="center" wrapText="1"/>
    </xf>
    <xf numFmtId="49" fontId="10" fillId="0" borderId="1" xfId="0" quotePrefix="1" applyNumberFormat="1" applyFont="1" applyFill="1" applyBorder="1" applyAlignment="1">
      <alignment horizontal="left" wrapText="1"/>
    </xf>
    <xf numFmtId="49" fontId="11" fillId="0" borderId="1" xfId="0" quotePrefix="1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wrapText="1"/>
    </xf>
    <xf numFmtId="0" fontId="10" fillId="0" borderId="1" xfId="0" quotePrefix="1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/>
    </xf>
    <xf numFmtId="43" fontId="11" fillId="0" borderId="1" xfId="1" applyFont="1" applyBorder="1" applyAlignment="1">
      <alignment horizontal="right" vertical="center"/>
    </xf>
    <xf numFmtId="43" fontId="11" fillId="0" borderId="1" xfId="1" applyFont="1" applyFill="1" applyBorder="1" applyAlignment="1">
      <alignment horizontal="justify" vertical="center"/>
    </xf>
    <xf numFmtId="0" fontId="0" fillId="2" borderId="0" xfId="0" applyFill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wrapText="1"/>
    </xf>
    <xf numFmtId="0" fontId="11" fillId="2" borderId="7" xfId="0" quotePrefix="1" applyFon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wrapText="1"/>
    </xf>
    <xf numFmtId="2" fontId="11" fillId="2" borderId="8" xfId="0" applyNumberFormat="1" applyFont="1" applyFill="1" applyBorder="1" applyAlignment="1">
      <alignment wrapText="1"/>
    </xf>
    <xf numFmtId="43" fontId="11" fillId="2" borderId="9" xfId="1" applyFont="1" applyFill="1" applyBorder="1" applyAlignment="1">
      <alignment wrapText="1"/>
    </xf>
    <xf numFmtId="0" fontId="10" fillId="2" borderId="10" xfId="0" applyFont="1" applyFill="1" applyBorder="1"/>
    <xf numFmtId="0" fontId="11" fillId="2" borderId="11" xfId="0" quotePrefix="1" applyFont="1" applyFill="1" applyBorder="1" applyAlignment="1">
      <alignment horizontal="center"/>
    </xf>
    <xf numFmtId="43" fontId="11" fillId="2" borderId="12" xfId="1" applyFont="1" applyFill="1" applyBorder="1"/>
    <xf numFmtId="0" fontId="10" fillId="2" borderId="10" xfId="0" applyFont="1" applyFill="1" applyBorder="1" applyAlignment="1">
      <alignment wrapText="1"/>
    </xf>
    <xf numFmtId="0" fontId="11" fillId="2" borderId="11" xfId="0" quotePrefix="1" applyFont="1" applyFill="1" applyBorder="1" applyAlignment="1">
      <alignment horizontal="center" wrapText="1"/>
    </xf>
    <xf numFmtId="0" fontId="10" fillId="2" borderId="10" xfId="0" quotePrefix="1" applyFont="1" applyFill="1" applyBorder="1" applyAlignment="1">
      <alignment horizontal="left" wrapText="1"/>
    </xf>
    <xf numFmtId="43" fontId="11" fillId="2" borderId="12" xfId="1" applyFont="1" applyFill="1" applyBorder="1" applyAlignment="1">
      <alignment wrapText="1"/>
    </xf>
    <xf numFmtId="49" fontId="10" fillId="2" borderId="10" xfId="0" quotePrefix="1" applyNumberFormat="1" applyFont="1" applyFill="1" applyBorder="1" applyAlignment="1">
      <alignment horizontal="left" wrapText="1"/>
    </xf>
    <xf numFmtId="49" fontId="11" fillId="2" borderId="11" xfId="0" quotePrefix="1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wrapText="1"/>
    </xf>
    <xf numFmtId="43" fontId="5" fillId="2" borderId="12" xfId="1" applyFont="1" applyFill="1" applyBorder="1"/>
    <xf numFmtId="0" fontId="11" fillId="2" borderId="11" xfId="0" applyFont="1" applyFill="1" applyBorder="1" applyAlignment="1">
      <alignment horizontal="center" wrapText="1"/>
    </xf>
    <xf numFmtId="0" fontId="15" fillId="2" borderId="10" xfId="0" applyFont="1" applyFill="1" applyBorder="1"/>
    <xf numFmtId="0" fontId="5" fillId="2" borderId="1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right"/>
    </xf>
    <xf numFmtId="43" fontId="5" fillId="2" borderId="12" xfId="1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15" fillId="2" borderId="13" xfId="0" applyFont="1" applyFill="1" applyBorder="1"/>
    <xf numFmtId="0" fontId="5" fillId="2" borderId="14" xfId="0" quotePrefix="1" applyFont="1" applyFill="1" applyBorder="1"/>
    <xf numFmtId="0" fontId="5" fillId="2" borderId="15" xfId="0" applyFont="1" applyFill="1" applyBorder="1"/>
    <xf numFmtId="0" fontId="11" fillId="2" borderId="15" xfId="0" applyFont="1" applyFill="1" applyBorder="1" applyAlignment="1">
      <alignment horizontal="center"/>
    </xf>
    <xf numFmtId="43" fontId="5" fillId="2" borderId="15" xfId="1" applyFont="1" applyFill="1" applyBorder="1"/>
    <xf numFmtId="43" fontId="0" fillId="2" borderId="15" xfId="1" applyFont="1" applyFill="1" applyBorder="1"/>
    <xf numFmtId="43" fontId="0" fillId="2" borderId="16" xfId="1" applyFont="1" applyFill="1" applyBorder="1"/>
    <xf numFmtId="0" fontId="26" fillId="2" borderId="0" xfId="0" applyFont="1" applyFill="1" applyBorder="1"/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3" fillId="2" borderId="0" xfId="0" applyFont="1" applyFill="1" applyBorder="1" applyAlignment="1">
      <alignment wrapText="1"/>
    </xf>
    <xf numFmtId="0" fontId="2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43" fontId="14" fillId="2" borderId="1" xfId="1" applyFont="1" applyFill="1" applyBorder="1" applyAlignment="1">
      <alignment horizontal="right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0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43" fontId="5" fillId="2" borderId="17" xfId="1" applyFont="1" applyFill="1" applyBorder="1" applyAlignment="1">
      <alignment horizontal="left" vertical="center"/>
    </xf>
    <xf numFmtId="0" fontId="28" fillId="5" borderId="1" xfId="0" applyFont="1" applyFill="1" applyBorder="1" applyAlignment="1">
      <alignment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right" vertical="center" wrapText="1"/>
    </xf>
    <xf numFmtId="2" fontId="11" fillId="2" borderId="1" xfId="0" applyNumberFormat="1" applyFont="1" applyFill="1" applyBorder="1" applyAlignment="1">
      <alignment horizontal="right" vertical="center" wrapText="1"/>
    </xf>
    <xf numFmtId="2" fontId="11" fillId="2" borderId="1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5" fontId="5" fillId="2" borderId="17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2" fontId="11" fillId="2" borderId="1" xfId="2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left" vertical="center" wrapText="1"/>
    </xf>
    <xf numFmtId="49" fontId="10" fillId="2" borderId="1" xfId="0" quotePrefix="1" applyNumberFormat="1" applyFont="1" applyFill="1" applyBorder="1" applyAlignment="1">
      <alignment horizontal="left" vertical="center" wrapText="1"/>
    </xf>
    <xf numFmtId="49" fontId="11" fillId="2" borderId="1" xfId="0" quotePrefix="1" applyNumberFormat="1" applyFont="1" applyFill="1" applyBorder="1" applyAlignment="1">
      <alignment horizontal="center" vertical="center" wrapText="1"/>
    </xf>
    <xf numFmtId="43" fontId="18" fillId="2" borderId="1" xfId="1" applyFont="1" applyFill="1" applyBorder="1" applyAlignment="1">
      <alignment vertical="center" wrapText="1"/>
    </xf>
    <xf numFmtId="43" fontId="18" fillId="2" borderId="1" xfId="1" applyFont="1" applyFill="1" applyBorder="1" applyAlignment="1">
      <alignment horizontal="right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43" fontId="18" fillId="2" borderId="1" xfId="1" applyFont="1" applyFill="1" applyBorder="1" applyAlignment="1">
      <alignment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horizontal="right" vertical="center"/>
    </xf>
    <xf numFmtId="43" fontId="21" fillId="2" borderId="1" xfId="1" applyFont="1" applyFill="1" applyBorder="1" applyAlignment="1">
      <alignment vertical="center" wrapText="1"/>
    </xf>
    <xf numFmtId="43" fontId="21" fillId="2" borderId="1" xfId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0" borderId="17" xfId="1" applyNumberFormat="1" applyFont="1" applyFill="1" applyBorder="1" applyAlignment="1">
      <alignment horizontal="left" vertical="center"/>
    </xf>
    <xf numFmtId="2" fontId="11" fillId="2" borderId="1" xfId="0" quotePrefix="1" applyNumberFormat="1" applyFont="1" applyFill="1" applyBorder="1" applyAlignment="1">
      <alignment horizontal="right" vertical="center" wrapText="1"/>
    </xf>
    <xf numFmtId="166" fontId="11" fillId="2" borderId="1" xfId="1" applyNumberFormat="1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justify" vertical="center"/>
    </xf>
    <xf numFmtId="2" fontId="11" fillId="0" borderId="1" xfId="1" applyNumberFormat="1" applyFont="1" applyFill="1" applyBorder="1" applyAlignment="1">
      <alignment horizontal="right" vertical="center"/>
    </xf>
    <xf numFmtId="2" fontId="31" fillId="2" borderId="1" xfId="1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43" fontId="23" fillId="2" borderId="1" xfId="1" applyFont="1" applyFill="1" applyBorder="1" applyAlignment="1">
      <alignment horizontal="right" vertical="center"/>
    </xf>
    <xf numFmtId="2" fontId="23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/>
    </xf>
    <xf numFmtId="164" fontId="23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vertical="center"/>
    </xf>
    <xf numFmtId="43" fontId="11" fillId="0" borderId="1" xfId="0" applyNumberFormat="1" applyFont="1" applyFill="1" applyBorder="1" applyAlignment="1">
      <alignment horizontal="right" vertic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3" fontId="11" fillId="0" borderId="1" xfId="1" applyNumberFormat="1" applyFont="1" applyFill="1" applyBorder="1" applyAlignment="1">
      <alignment vertical="center" wrapText="1"/>
    </xf>
    <xf numFmtId="43" fontId="11" fillId="0" borderId="1" xfId="1" applyNumberFormat="1" applyFont="1" applyFill="1" applyBorder="1" applyAlignment="1">
      <alignment horizontal="right" vertical="center" wrapText="1"/>
    </xf>
    <xf numFmtId="43" fontId="11" fillId="0" borderId="1" xfId="1" applyNumberFormat="1" applyFont="1" applyFill="1" applyBorder="1" applyAlignment="1">
      <alignment horizontal="center" vertical="center" wrapText="1"/>
    </xf>
    <xf numFmtId="43" fontId="11" fillId="0" borderId="1" xfId="2" applyNumberFormat="1" applyFont="1" applyFill="1" applyBorder="1" applyAlignment="1">
      <alignment horizontal="right" vertical="center"/>
    </xf>
    <xf numFmtId="43" fontId="11" fillId="0" borderId="1" xfId="1" quotePrefix="1" applyNumberFormat="1" applyFont="1" applyFill="1" applyBorder="1" applyAlignment="1">
      <alignment horizontal="right" vertical="center" wrapText="1"/>
    </xf>
    <xf numFmtId="49" fontId="10" fillId="0" borderId="1" xfId="0" quotePrefix="1" applyNumberFormat="1" applyFont="1" applyFill="1" applyBorder="1" applyAlignment="1">
      <alignment horizontal="left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3" fontId="5" fillId="0" borderId="1" xfId="1" applyNumberFormat="1" applyFont="1" applyFill="1" applyBorder="1" applyAlignment="1">
      <alignment horizontal="right" vertical="center"/>
    </xf>
    <xf numFmtId="43" fontId="11" fillId="0" borderId="1" xfId="1" quotePrefix="1" applyNumberFormat="1" applyFont="1" applyFill="1" applyBorder="1" applyAlignment="1">
      <alignment horizontal="right" vertical="center"/>
    </xf>
    <xf numFmtId="43" fontId="11" fillId="0" borderId="1" xfId="0" quotePrefix="1" applyNumberFormat="1" applyFont="1" applyFill="1" applyBorder="1" applyAlignment="1">
      <alignment horizontal="right" vertical="center"/>
    </xf>
    <xf numFmtId="43" fontId="5" fillId="0" borderId="1" xfId="1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/>
    </xf>
    <xf numFmtId="43" fontId="11" fillId="0" borderId="1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/>
    </xf>
    <xf numFmtId="43" fontId="24" fillId="0" borderId="1" xfId="1" applyNumberFormat="1" applyFont="1" applyFill="1" applyBorder="1" applyAlignment="1">
      <alignment horizontal="center" vertical="center"/>
    </xf>
    <xf numFmtId="43" fontId="11" fillId="2" borderId="1" xfId="1" applyNumberFormat="1" applyFont="1" applyFill="1" applyBorder="1" applyAlignment="1">
      <alignment horizontal="right" vertical="center"/>
    </xf>
    <xf numFmtId="43" fontId="11" fillId="2" borderId="1" xfId="1" applyNumberFormat="1" applyFont="1" applyFill="1" applyBorder="1" applyAlignment="1">
      <alignment horizontal="justify" vertical="center"/>
    </xf>
    <xf numFmtId="43" fontId="11" fillId="2" borderId="1" xfId="1" applyNumberFormat="1" applyFont="1" applyFill="1" applyBorder="1" applyAlignment="1">
      <alignment vertical="center"/>
    </xf>
    <xf numFmtId="43" fontId="5" fillId="2" borderId="1" xfId="1" applyNumberFormat="1" applyFont="1" applyFill="1" applyBorder="1" applyAlignment="1">
      <alignment horizontal="right" vertical="center"/>
    </xf>
    <xf numFmtId="43" fontId="11" fillId="2" borderId="1" xfId="1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2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distributed"/>
    </xf>
    <xf numFmtId="0" fontId="5" fillId="0" borderId="1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49" fontId="10" fillId="2" borderId="1" xfId="0" quotePrefix="1" applyNumberFormat="1" applyFont="1" applyFill="1" applyBorder="1" applyAlignment="1">
      <alignment horizontal="left" wrapText="1"/>
    </xf>
    <xf numFmtId="49" fontId="11" fillId="2" borderId="1" xfId="0" quotePrefix="1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31" fillId="0" borderId="1" xfId="0" applyFont="1" applyFill="1" applyBorder="1" applyAlignment="1">
      <alignment wrapText="1"/>
    </xf>
    <xf numFmtId="0" fontId="11" fillId="0" borderId="1" xfId="0" applyFont="1" applyFill="1" applyBorder="1"/>
    <xf numFmtId="43" fontId="13" fillId="0" borderId="1" xfId="1" applyFont="1" applyFill="1" applyBorder="1"/>
    <xf numFmtId="0" fontId="30" fillId="0" borderId="0" xfId="0" applyFont="1" applyFill="1" applyBorder="1"/>
    <xf numFmtId="43" fontId="34" fillId="0" borderId="1" xfId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8" fillId="2" borderId="1" xfId="3" applyFont="1" applyFill="1" applyBorder="1" applyAlignment="1">
      <alignment vertical="center" wrapText="1"/>
    </xf>
    <xf numFmtId="0" fontId="38" fillId="2" borderId="1" xfId="3" applyFont="1" applyFill="1" applyBorder="1" applyAlignment="1">
      <alignment horizontal="left" vertical="center" wrapText="1"/>
    </xf>
    <xf numFmtId="49" fontId="38" fillId="2" borderId="1" xfId="3" applyNumberFormat="1" applyFont="1" applyFill="1" applyBorder="1" applyAlignment="1">
      <alignment horizontal="left" vertical="center" wrapText="1"/>
    </xf>
    <xf numFmtId="0" fontId="38" fillId="0" borderId="1" xfId="3" applyFont="1" applyBorder="1"/>
    <xf numFmtId="43" fontId="36" fillId="0" borderId="1" xfId="0" applyNumberFormat="1" applyFont="1" applyFill="1" applyBorder="1" applyAlignment="1">
      <alignment horizontal="center" vertical="center"/>
    </xf>
    <xf numFmtId="15" fontId="11" fillId="0" borderId="1" xfId="0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right" vertical="center"/>
    </xf>
    <xf numFmtId="15" fontId="11" fillId="0" borderId="1" xfId="2" applyNumberFormat="1" applyFont="1" applyFill="1" applyBorder="1" applyAlignment="1">
      <alignment horizontal="right" vertical="center"/>
    </xf>
    <xf numFmtId="17" fontId="11" fillId="0" borderId="1" xfId="2" applyNumberFormat="1" applyFont="1" applyFill="1" applyBorder="1" applyAlignment="1">
      <alignment horizontal="right" vertical="center"/>
    </xf>
    <xf numFmtId="43" fontId="11" fillId="0" borderId="1" xfId="0" applyNumberFormat="1" applyFont="1" applyFill="1" applyBorder="1" applyAlignment="1">
      <alignment vertical="center" wrapText="1"/>
    </xf>
    <xf numFmtId="15" fontId="5" fillId="0" borderId="1" xfId="1" applyNumberFormat="1" applyFont="1" applyFill="1" applyBorder="1" applyAlignment="1">
      <alignment horizontal="right" vertical="center"/>
    </xf>
    <xf numFmtId="14" fontId="11" fillId="0" borderId="1" xfId="0" quotePrefix="1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right" vertical="center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fdigiorgio_os_uniroma3_it/Documents/RdC/Verbali/Verbali19202122/VER20122220/Ricognizione2020/Doc%20Partecipate2020%20Verbale/Prospetto%20di%20riepilogo_Partecipazioni2020_UniRM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digiorgio\OneDrive%20-%20Universit&#225;%20Degli%20Studi%20Roma%20Tre\RdC\Verbali\RdCV2019\VER19121206\Dati%20Partecipazioni2018_UniRM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fdigiorgio_os_uniroma3_it/Documents/RdC/Verbali/Verbali192021/VER21122232/Partecipazioni2020/Doc%20Partecipate%202021%20censimento/Partecipazioni%20UniRM3%202021%20dat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2014 2015"/>
      <sheetName val="2015"/>
      <sheetName val="2016"/>
      <sheetName val="2017"/>
      <sheetName val="2017 MEF"/>
      <sheetName val="DITNE"/>
      <sheetName val="2018"/>
      <sheetName val="2018 MEF"/>
      <sheetName val="2019"/>
      <sheetName val="2019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U8">
            <v>28.484737319487103</v>
          </cell>
          <cell r="V8">
            <v>4.0600738759642905</v>
          </cell>
        </row>
        <row r="9">
          <cell r="U9">
            <v>3.372005502642442</v>
          </cell>
          <cell r="V9">
            <v>2.1872072347885547</v>
          </cell>
        </row>
        <row r="11">
          <cell r="U11">
            <v>1.2744737575750007</v>
          </cell>
          <cell r="V11">
            <v>1.0200996020556639</v>
          </cell>
        </row>
        <row r="13">
          <cell r="U13">
            <v>3.1899530942737249</v>
          </cell>
          <cell r="V13">
            <v>2.0694020637701032</v>
          </cell>
        </row>
        <row r="14">
          <cell r="U14">
            <v>173.64539743523181</v>
          </cell>
          <cell r="V14">
            <v>71.615434028521264</v>
          </cell>
        </row>
        <row r="15">
          <cell r="U15">
            <v>30.852893675732911</v>
          </cell>
          <cell r="V15">
            <v>14.732970455180974</v>
          </cell>
        </row>
        <row r="16">
          <cell r="U16">
            <v>1.172765293265239</v>
          </cell>
          <cell r="V16">
            <v>1.1495313403010272</v>
          </cell>
        </row>
        <row r="17">
          <cell r="U17">
            <v>1.553921568627451</v>
          </cell>
          <cell r="V17">
            <v>1.4788376335678917</v>
          </cell>
        </row>
        <row r="20">
          <cell r="U20">
            <v>2.8594433160364803</v>
          </cell>
          <cell r="V20">
            <v>2.6942963166575042</v>
          </cell>
        </row>
        <row r="21">
          <cell r="U21">
            <v>1.0406318707364752</v>
          </cell>
          <cell r="V21">
            <v>1.0406318707364752</v>
          </cell>
        </row>
        <row r="22">
          <cell r="U22">
            <v>1.5033779461676815</v>
          </cell>
          <cell r="V22">
            <v>1.2296911933242605</v>
          </cell>
        </row>
        <row r="23">
          <cell r="U23">
            <v>14.089739130434783</v>
          </cell>
          <cell r="V23">
            <v>1.7900132567388423</v>
          </cell>
        </row>
        <row r="25">
          <cell r="U25">
            <v>5.0588269319759371</v>
          </cell>
          <cell r="V25">
            <v>5.0588269319759371</v>
          </cell>
        </row>
        <row r="26">
          <cell r="U26">
            <v>26.492865816636307</v>
          </cell>
          <cell r="V26">
            <v>26.492865816636307</v>
          </cell>
        </row>
        <row r="27">
          <cell r="U27">
            <v>55.338315467075041</v>
          </cell>
          <cell r="V27">
            <v>55.338315467075041</v>
          </cell>
        </row>
        <row r="28">
          <cell r="U28">
            <v>1.8910791427253282</v>
          </cell>
          <cell r="V28">
            <v>1.8910791427253282</v>
          </cell>
        </row>
        <row r="29">
          <cell r="U29">
            <v>21.180282040131701</v>
          </cell>
          <cell r="V29">
            <v>13.881033324511939</v>
          </cell>
        </row>
        <row r="30">
          <cell r="V30">
            <v>168.74779541446208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2014 2015"/>
      <sheetName val="2015"/>
      <sheetName val="2016"/>
      <sheetName val="2017"/>
      <sheetName val="2017 MEF"/>
      <sheetName val="DITNE"/>
      <sheetName val="2018"/>
      <sheetName val="2018 MEF"/>
    </sheetNames>
    <sheetDataSet>
      <sheetData sheetId="0" refreshError="1"/>
      <sheetData sheetId="1" refreshError="1">
        <row r="7">
          <cell r="U7">
            <v>3.6981548304192131</v>
          </cell>
          <cell r="V7">
            <v>3.497385659420551</v>
          </cell>
        </row>
        <row r="8">
          <cell r="U8">
            <v>2.5601794037068255</v>
          </cell>
          <cell r="V8">
            <v>1.4245778031459855</v>
          </cell>
        </row>
        <row r="10">
          <cell r="U10">
            <v>4.8126644028528958</v>
          </cell>
          <cell r="V10">
            <v>4.8126644028528958</v>
          </cell>
        </row>
        <row r="12">
          <cell r="U12">
            <v>4.1419649031579713</v>
          </cell>
          <cell r="V12">
            <v>2.7973783474944867</v>
          </cell>
        </row>
        <row r="13">
          <cell r="U13">
            <v>1.0716941172649972</v>
          </cell>
          <cell r="V13">
            <v>1.0590115804302667</v>
          </cell>
        </row>
        <row r="14">
          <cell r="U14">
            <v>9.9393554004576909</v>
          </cell>
          <cell r="V14">
            <v>7.8340818416793878</v>
          </cell>
        </row>
        <row r="15">
          <cell r="U15">
            <v>1.3954734919771932</v>
          </cell>
          <cell r="V15">
            <v>1.3458029994420582</v>
          </cell>
        </row>
        <row r="16">
          <cell r="U16">
            <v>3.6669781099839831</v>
          </cell>
          <cell r="V16">
            <v>2.4918820861678004</v>
          </cell>
        </row>
        <row r="19">
          <cell r="U19">
            <v>1.4348682707759759</v>
          </cell>
          <cell r="V19">
            <v>1.4313861107912753</v>
          </cell>
        </row>
        <row r="20">
          <cell r="U20">
            <v>1.1793608767933008</v>
          </cell>
          <cell r="V20">
            <v>1.1793608767933008</v>
          </cell>
        </row>
        <row r="21">
          <cell r="U21">
            <v>1.5604722137777698</v>
          </cell>
          <cell r="V21">
            <v>1.217051963105761</v>
          </cell>
        </row>
        <row r="22">
          <cell r="U22">
            <v>1.3834999112280812</v>
          </cell>
          <cell r="V22">
            <v>1.162785492337131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2014 2015"/>
      <sheetName val="2015"/>
      <sheetName val="2016"/>
      <sheetName val="2017"/>
      <sheetName val="2017 MEF"/>
      <sheetName val="DITNE"/>
      <sheetName val="2018"/>
      <sheetName val="2018 MEF"/>
      <sheetName val="2019"/>
      <sheetName val="2019 MEF"/>
      <sheetName val="2020"/>
      <sheetName val="2020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I8">
            <v>40516.46</v>
          </cell>
        </row>
        <row r="9">
          <cell r="I9">
            <v>3098</v>
          </cell>
        </row>
        <row r="14">
          <cell r="I14">
            <v>5165</v>
          </cell>
        </row>
        <row r="16">
          <cell r="I16">
            <v>5164.57</v>
          </cell>
        </row>
        <row r="23">
          <cell r="I23">
            <v>5164.57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forma.unige.it/" TargetMode="External"/><Relationship Id="rId13" Type="http://schemas.openxmlformats.org/officeDocument/2006/relationships/hyperlink" Target="http://www.regionidigitali.eu/" TargetMode="External"/><Relationship Id="rId18" Type="http://schemas.openxmlformats.org/officeDocument/2006/relationships/hyperlink" Target="https://www.fondazionetiche.it/" TargetMode="External"/><Relationship Id="rId3" Type="http://schemas.openxmlformats.org/officeDocument/2006/relationships/hyperlink" Target="https://www.cnit.it/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www.nitel.it/" TargetMode="External"/><Relationship Id="rId12" Type="http://schemas.openxmlformats.org/officeDocument/2006/relationships/hyperlink" Target="http://consorzioulisse.it/it/" TargetMode="External"/><Relationship Id="rId17" Type="http://schemas.openxmlformats.org/officeDocument/2006/relationships/hyperlink" Target="https://itsrossellini.it/" TargetMode="External"/><Relationship Id="rId2" Type="http://schemas.openxmlformats.org/officeDocument/2006/relationships/hyperlink" Target="https://www.almalaurea.it/" TargetMode="External"/><Relationship Id="rId16" Type="http://schemas.openxmlformats.org/officeDocument/2006/relationships/hyperlink" Target="https://www.cisiaonline.it/" TargetMode="External"/><Relationship Id="rId20" Type="http://schemas.openxmlformats.org/officeDocument/2006/relationships/hyperlink" Target="https://www.uniroma3.it/ateneo/fondazioni/" TargetMode="External"/><Relationship Id="rId1" Type="http://schemas.openxmlformats.org/officeDocument/2006/relationships/hyperlink" Target="https://www.cineca.it/" TargetMode="External"/><Relationship Id="rId6" Type="http://schemas.openxmlformats.org/officeDocument/2006/relationships/hyperlink" Target="https://www.instm.it/" TargetMode="External"/><Relationship Id="rId11" Type="http://schemas.openxmlformats.org/officeDocument/2006/relationships/hyperlink" Target="http://www.radiolabs.it/" TargetMode="External"/><Relationship Id="rId5" Type="http://schemas.openxmlformats.org/officeDocument/2006/relationships/hyperlink" Target="http://www.inbb.it/" TargetMode="External"/><Relationship Id="rId15" Type="http://schemas.openxmlformats.org/officeDocument/2006/relationships/hyperlink" Target="https://consorzioelmo.it/" TargetMode="External"/><Relationship Id="rId10" Type="http://schemas.openxmlformats.org/officeDocument/2006/relationships/hyperlink" Target="http://eccc.c-s-m.it/layout_html_standard/en/consorzio_matris.html" TargetMode="External"/><Relationship Id="rId19" Type="http://schemas.openxmlformats.org/officeDocument/2006/relationships/hyperlink" Target="https://www.uniroma3.it/ateneo/fondazioni/" TargetMode="External"/><Relationship Id="rId4" Type="http://schemas.openxmlformats.org/officeDocument/2006/relationships/hyperlink" Target="http://www.italicon.education/" TargetMode="External"/><Relationship Id="rId9" Type="http://schemas.openxmlformats.org/officeDocument/2006/relationships/hyperlink" Target="https://www.ditne.it/" TargetMode="External"/><Relationship Id="rId14" Type="http://schemas.openxmlformats.org/officeDocument/2006/relationships/hyperlink" Target="https://www.consorzio-cini.it/index.php/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0F7A2-8A55-4BA0-A2A4-4869D0D6E1FA}">
  <dimension ref="A1:K46"/>
  <sheetViews>
    <sheetView workbookViewId="0">
      <selection activeCell="K6" sqref="K6"/>
    </sheetView>
  </sheetViews>
  <sheetFormatPr defaultColWidth="9.109375" defaultRowHeight="14.4" x14ac:dyDescent="0.3"/>
  <cols>
    <col min="1" max="1" width="33" style="74" customWidth="1"/>
    <col min="2" max="2" width="11.33203125" style="75" customWidth="1"/>
    <col min="3" max="3" width="13.5546875" style="1" customWidth="1"/>
    <col min="4" max="4" width="9" style="75" customWidth="1"/>
    <col min="5" max="5" width="12.5546875" style="1" customWidth="1"/>
    <col min="6" max="6" width="11.44140625" style="1" customWidth="1"/>
    <col min="7" max="7" width="15.5546875" style="1" customWidth="1"/>
    <col min="8" max="8" width="12" style="1" customWidth="1"/>
    <col min="9" max="9" width="9.109375" style="1"/>
    <col min="10" max="10" width="12" style="1" customWidth="1"/>
    <col min="11" max="11" width="28" style="5" bestFit="1" customWidth="1"/>
    <col min="12" max="16384" width="9.109375" style="108"/>
  </cols>
  <sheetData>
    <row r="1" spans="1:10" ht="18" x14ac:dyDescent="0.35">
      <c r="A1" s="2" t="s">
        <v>0</v>
      </c>
      <c r="B1" s="3"/>
      <c r="C1" s="4"/>
      <c r="D1" s="3"/>
    </row>
    <row r="2" spans="1:10" ht="15.6" x14ac:dyDescent="0.3">
      <c r="A2" s="109" t="s">
        <v>143</v>
      </c>
      <c r="B2" s="110"/>
      <c r="C2" s="111" t="s">
        <v>98</v>
      </c>
      <c r="D2" s="112"/>
      <c r="E2" s="74"/>
      <c r="G2" s="113"/>
    </row>
    <row r="3" spans="1:10" x14ac:dyDescent="0.3">
      <c r="A3" s="9"/>
      <c r="B3" s="10"/>
      <c r="C3" s="11"/>
      <c r="D3" s="10"/>
    </row>
    <row r="4" spans="1:10" x14ac:dyDescent="0.3">
      <c r="A4" s="12" t="s">
        <v>141</v>
      </c>
      <c r="B4" s="13"/>
      <c r="C4" s="14"/>
      <c r="D4" s="13"/>
    </row>
    <row r="5" spans="1:10" ht="15" thickBot="1" x14ac:dyDescent="0.35">
      <c r="A5" s="9"/>
      <c r="B5" s="10"/>
      <c r="C5" s="11"/>
      <c r="D5" s="10"/>
    </row>
    <row r="6" spans="1:10" ht="79.8" thickBot="1" x14ac:dyDescent="0.35">
      <c r="A6" s="114" t="s">
        <v>5</v>
      </c>
      <c r="B6" s="115" t="s">
        <v>6</v>
      </c>
      <c r="C6" s="116" t="s">
        <v>7</v>
      </c>
      <c r="D6" s="116" t="s">
        <v>8</v>
      </c>
      <c r="E6" s="117" t="s">
        <v>99</v>
      </c>
      <c r="F6" s="117" t="s">
        <v>100</v>
      </c>
      <c r="G6" s="116" t="s">
        <v>101</v>
      </c>
      <c r="H6" s="117" t="s">
        <v>12</v>
      </c>
      <c r="I6" s="116" t="s">
        <v>13</v>
      </c>
      <c r="J6" s="118" t="s">
        <v>14</v>
      </c>
    </row>
    <row r="7" spans="1:10" ht="26.4" x14ac:dyDescent="0.3">
      <c r="A7" s="119" t="s">
        <v>29</v>
      </c>
      <c r="B7" s="120">
        <v>10019971000</v>
      </c>
      <c r="C7" s="121" t="s">
        <v>30</v>
      </c>
      <c r="D7" s="122" t="s">
        <v>31</v>
      </c>
      <c r="E7" s="123">
        <v>-162162</v>
      </c>
      <c r="F7" s="123">
        <v>80000</v>
      </c>
      <c r="G7" s="123">
        <v>-64845</v>
      </c>
      <c r="H7" s="123">
        <v>8000</v>
      </c>
      <c r="I7" s="124">
        <v>10</v>
      </c>
      <c r="J7" s="125">
        <v>0</v>
      </c>
    </row>
    <row r="8" spans="1:10" ht="26.4" x14ac:dyDescent="0.3">
      <c r="A8" s="126" t="s">
        <v>32</v>
      </c>
      <c r="B8" s="127" t="s">
        <v>33</v>
      </c>
      <c r="C8" s="30" t="s">
        <v>34</v>
      </c>
      <c r="D8" s="31" t="s">
        <v>31</v>
      </c>
      <c r="E8" s="32">
        <v>134744708</v>
      </c>
      <c r="F8" s="32">
        <v>2229226</v>
      </c>
      <c r="G8" s="32">
        <v>218107</v>
      </c>
      <c r="H8" s="32">
        <f>F8*0.0182</f>
        <v>40571.913200000003</v>
      </c>
      <c r="I8" s="33">
        <v>1.82</v>
      </c>
      <c r="J8" s="128">
        <v>0</v>
      </c>
    </row>
    <row r="9" spans="1:10" ht="26.4" x14ac:dyDescent="0.3">
      <c r="A9" s="129" t="s">
        <v>37</v>
      </c>
      <c r="B9" s="130" t="s">
        <v>38</v>
      </c>
      <c r="C9" s="30" t="s">
        <v>34</v>
      </c>
      <c r="D9" s="36" t="s">
        <v>43</v>
      </c>
      <c r="E9" s="32">
        <v>1016841.77</v>
      </c>
      <c r="F9" s="32">
        <v>233450</v>
      </c>
      <c r="G9" s="32">
        <v>119469.87</v>
      </c>
      <c r="H9" s="32">
        <v>3098</v>
      </c>
      <c r="I9" s="33">
        <v>1.38</v>
      </c>
      <c r="J9" s="128">
        <v>0</v>
      </c>
    </row>
    <row r="10" spans="1:10" ht="39.6" x14ac:dyDescent="0.3">
      <c r="A10" s="131" t="s">
        <v>42</v>
      </c>
      <c r="B10" s="130">
        <v>97368190589</v>
      </c>
      <c r="C10" s="30" t="s">
        <v>34</v>
      </c>
      <c r="D10" s="36" t="s">
        <v>43</v>
      </c>
      <c r="E10" s="39">
        <v>6874920.2400000002</v>
      </c>
      <c r="F10" s="39">
        <v>585000</v>
      </c>
      <c r="G10" s="39">
        <v>554407.6</v>
      </c>
      <c r="H10" s="39">
        <v>15000</v>
      </c>
      <c r="I10" s="40">
        <v>2.56</v>
      </c>
      <c r="J10" s="128">
        <v>0</v>
      </c>
    </row>
    <row r="11" spans="1:10" ht="39.6" x14ac:dyDescent="0.3">
      <c r="A11" s="131" t="s">
        <v>44</v>
      </c>
      <c r="B11" s="130">
        <v>92067000346</v>
      </c>
      <c r="C11" s="30" t="s">
        <v>34</v>
      </c>
      <c r="D11" s="36" t="s">
        <v>43</v>
      </c>
      <c r="E11" s="39">
        <v>12982809.550000001</v>
      </c>
      <c r="F11" s="39">
        <v>191089.12</v>
      </c>
      <c r="G11" s="39">
        <v>11178149.029999999</v>
      </c>
      <c r="H11" s="39">
        <v>5164.57</v>
      </c>
      <c r="I11" s="40">
        <v>2.7</v>
      </c>
      <c r="J11" s="128">
        <v>0</v>
      </c>
    </row>
    <row r="12" spans="1:10" ht="26.4" x14ac:dyDescent="0.3">
      <c r="A12" s="131" t="s">
        <v>46</v>
      </c>
      <c r="B12" s="130">
        <v>90009000432</v>
      </c>
      <c r="C12" s="30" t="s">
        <v>34</v>
      </c>
      <c r="D12" s="36" t="s">
        <v>43</v>
      </c>
      <c r="E12" s="39">
        <v>427170</v>
      </c>
      <c r="F12" s="39">
        <v>427170</v>
      </c>
      <c r="G12" s="39">
        <v>84674.58</v>
      </c>
      <c r="H12" s="39">
        <v>14239</v>
      </c>
      <c r="I12" s="40">
        <v>3.45</v>
      </c>
      <c r="J12" s="132">
        <v>0</v>
      </c>
    </row>
    <row r="13" spans="1:10" ht="26.4" x14ac:dyDescent="0.3">
      <c r="A13" s="131" t="s">
        <v>47</v>
      </c>
      <c r="B13" s="130" t="s">
        <v>48</v>
      </c>
      <c r="C13" s="30" t="s">
        <v>34</v>
      </c>
      <c r="D13" s="36" t="s">
        <v>31</v>
      </c>
      <c r="E13" s="39">
        <v>845564.09</v>
      </c>
      <c r="F13" s="39">
        <v>451988.47</v>
      </c>
      <c r="G13" s="39">
        <v>859.06</v>
      </c>
      <c r="H13" s="39">
        <f>0.0548*F13</f>
        <v>24768.968155999999</v>
      </c>
      <c r="I13" s="40">
        <v>5.47</v>
      </c>
      <c r="J13" s="132">
        <v>5000</v>
      </c>
    </row>
    <row r="14" spans="1:10" ht="26.4" x14ac:dyDescent="0.3">
      <c r="A14" s="131" t="s">
        <v>50</v>
      </c>
      <c r="B14" s="130" t="s">
        <v>51</v>
      </c>
      <c r="C14" s="30" t="s">
        <v>34</v>
      </c>
      <c r="D14" s="36" t="s">
        <v>31</v>
      </c>
      <c r="E14" s="39">
        <v>468262</v>
      </c>
      <c r="F14" s="39">
        <v>134270</v>
      </c>
      <c r="G14" s="39">
        <v>987</v>
      </c>
      <c r="H14" s="39">
        <v>5165</v>
      </c>
      <c r="I14" s="40">
        <v>4.3499999999999996</v>
      </c>
      <c r="J14" s="132">
        <v>0</v>
      </c>
    </row>
    <row r="15" spans="1:10" ht="39.6" x14ac:dyDescent="0.3">
      <c r="A15" s="131" t="s">
        <v>53</v>
      </c>
      <c r="B15" s="130">
        <v>94040540489</v>
      </c>
      <c r="C15" s="30" t="s">
        <v>34</v>
      </c>
      <c r="D15" s="36" t="s">
        <v>31</v>
      </c>
      <c r="E15" s="39">
        <v>10408482.130000001</v>
      </c>
      <c r="F15" s="39">
        <v>352352.21</v>
      </c>
      <c r="G15" s="39">
        <v>18570.27</v>
      </c>
      <c r="H15" s="39">
        <v>7340.67</v>
      </c>
      <c r="I15" s="48">
        <v>2.08</v>
      </c>
      <c r="J15" s="132">
        <v>0</v>
      </c>
    </row>
    <row r="16" spans="1:10" ht="39.6" x14ac:dyDescent="0.3">
      <c r="A16" s="131" t="s">
        <v>55</v>
      </c>
      <c r="B16" s="130" t="s">
        <v>56</v>
      </c>
      <c r="C16" s="30" t="s">
        <v>34</v>
      </c>
      <c r="D16" s="36" t="s">
        <v>31</v>
      </c>
      <c r="E16" s="39">
        <v>155226</v>
      </c>
      <c r="F16" s="50">
        <v>118785</v>
      </c>
      <c r="G16" s="39">
        <v>901</v>
      </c>
      <c r="H16" s="50">
        <v>5164.57</v>
      </c>
      <c r="I16" s="48">
        <v>5.26</v>
      </c>
      <c r="J16" s="132">
        <v>0</v>
      </c>
    </row>
    <row r="17" spans="1:11" ht="52.8" x14ac:dyDescent="0.3">
      <c r="A17" s="133" t="s">
        <v>58</v>
      </c>
      <c r="B17" s="134" t="s">
        <v>59</v>
      </c>
      <c r="C17" s="30" t="s">
        <v>34</v>
      </c>
      <c r="D17" s="36" t="s">
        <v>31</v>
      </c>
      <c r="E17" s="39">
        <v>35101</v>
      </c>
      <c r="F17" s="39">
        <v>34827</v>
      </c>
      <c r="G17" s="39">
        <v>276</v>
      </c>
      <c r="H17" s="39">
        <v>4975.29</v>
      </c>
      <c r="I17" s="40">
        <v>14.28</v>
      </c>
      <c r="J17" s="132">
        <v>0</v>
      </c>
    </row>
    <row r="18" spans="1:11" ht="39.6" x14ac:dyDescent="0.3">
      <c r="A18" s="131" t="s">
        <v>61</v>
      </c>
      <c r="B18" s="130">
        <v>97578350015</v>
      </c>
      <c r="C18" s="30" t="s">
        <v>34</v>
      </c>
      <c r="D18" s="36" t="s">
        <v>43</v>
      </c>
      <c r="E18" s="39" t="s">
        <v>62</v>
      </c>
      <c r="F18" s="39">
        <v>0</v>
      </c>
      <c r="G18" s="39">
        <v>10491.65</v>
      </c>
      <c r="H18" s="39">
        <v>2582.2800000000002</v>
      </c>
      <c r="I18" s="40">
        <v>4.55</v>
      </c>
      <c r="J18" s="132">
        <v>0</v>
      </c>
      <c r="K18" s="135"/>
    </row>
    <row r="19" spans="1:11" ht="26.4" x14ac:dyDescent="0.3">
      <c r="A19" s="131" t="s">
        <v>63</v>
      </c>
      <c r="B19" s="130" t="s">
        <v>64</v>
      </c>
      <c r="C19" s="53" t="s">
        <v>34</v>
      </c>
      <c r="D19" s="36" t="s">
        <v>31</v>
      </c>
      <c r="E19" s="39">
        <v>3551162</v>
      </c>
      <c r="F19" s="39">
        <v>3909491</v>
      </c>
      <c r="G19" s="39">
        <v>-358330</v>
      </c>
      <c r="H19" s="39">
        <v>93025.49</v>
      </c>
      <c r="I19" s="40">
        <v>2.38</v>
      </c>
      <c r="J19" s="132">
        <v>0</v>
      </c>
    </row>
    <row r="20" spans="1:11" ht="26.4" x14ac:dyDescent="0.3">
      <c r="A20" s="131" t="s">
        <v>65</v>
      </c>
      <c r="B20" s="130" t="s">
        <v>66</v>
      </c>
      <c r="C20" s="54" t="s">
        <v>67</v>
      </c>
      <c r="D20" s="36" t="s">
        <v>31</v>
      </c>
      <c r="E20" s="39">
        <v>432235</v>
      </c>
      <c r="F20" s="39">
        <v>383812</v>
      </c>
      <c r="G20" s="39">
        <v>1864</v>
      </c>
      <c r="H20" s="39">
        <v>10320.5</v>
      </c>
      <c r="I20" s="40">
        <v>2.69</v>
      </c>
      <c r="J20" s="132">
        <v>0</v>
      </c>
    </row>
    <row r="21" spans="1:11" ht="39.6" x14ac:dyDescent="0.3">
      <c r="A21" s="131" t="s">
        <v>69</v>
      </c>
      <c r="B21" s="130" t="s">
        <v>70</v>
      </c>
      <c r="C21" s="30" t="s">
        <v>71</v>
      </c>
      <c r="D21" s="36" t="s">
        <v>31</v>
      </c>
      <c r="E21" s="50">
        <v>22500</v>
      </c>
      <c r="F21" s="39">
        <v>22500</v>
      </c>
      <c r="G21" s="50">
        <v>0</v>
      </c>
      <c r="H21" s="39">
        <v>4500</v>
      </c>
      <c r="I21" s="55">
        <v>20</v>
      </c>
      <c r="J21" s="132">
        <v>0</v>
      </c>
    </row>
    <row r="22" spans="1:11" ht="39.6" x14ac:dyDescent="0.3">
      <c r="A22" s="131" t="s">
        <v>72</v>
      </c>
      <c r="B22" s="130" t="s">
        <v>73</v>
      </c>
      <c r="C22" s="30" t="s">
        <v>71</v>
      </c>
      <c r="D22" s="36" t="s">
        <v>31</v>
      </c>
      <c r="E22" s="56">
        <v>238756</v>
      </c>
      <c r="F22" s="56">
        <v>258228</v>
      </c>
      <c r="G22" s="56">
        <v>5277</v>
      </c>
      <c r="H22" s="56">
        <v>51645.599999999999</v>
      </c>
      <c r="I22" s="56">
        <v>20</v>
      </c>
      <c r="J22" s="136">
        <v>0</v>
      </c>
    </row>
    <row r="23" spans="1:11" ht="39.6" x14ac:dyDescent="0.3">
      <c r="A23" s="131" t="s">
        <v>75</v>
      </c>
      <c r="B23" s="130">
        <v>4264541006</v>
      </c>
      <c r="C23" s="30" t="s">
        <v>71</v>
      </c>
      <c r="D23" s="36" t="s">
        <v>31</v>
      </c>
      <c r="E23" s="39">
        <v>39503</v>
      </c>
      <c r="F23" s="39">
        <v>20658</v>
      </c>
      <c r="G23" s="39">
        <v>28</v>
      </c>
      <c r="H23" s="39">
        <v>5164.57</v>
      </c>
      <c r="I23" s="40">
        <v>16.670000000000002</v>
      </c>
      <c r="J23" s="132"/>
    </row>
    <row r="24" spans="1:11" ht="39.6" x14ac:dyDescent="0.3">
      <c r="A24" s="129" t="s">
        <v>77</v>
      </c>
      <c r="B24" s="137">
        <v>97806560583</v>
      </c>
      <c r="C24" s="54" t="s">
        <v>71</v>
      </c>
      <c r="D24" s="36" t="s">
        <v>31</v>
      </c>
      <c r="E24" s="56">
        <v>1407</v>
      </c>
      <c r="F24" s="56">
        <v>7000</v>
      </c>
      <c r="G24" s="56">
        <v>-1707</v>
      </c>
      <c r="H24" s="56">
        <v>1000</v>
      </c>
      <c r="I24" s="59">
        <v>14.29</v>
      </c>
      <c r="J24" s="136">
        <v>0</v>
      </c>
    </row>
    <row r="25" spans="1:11" x14ac:dyDescent="0.3">
      <c r="A25" s="129" t="s">
        <v>78</v>
      </c>
      <c r="B25" s="137">
        <v>12963691006</v>
      </c>
      <c r="C25" s="54" t="s">
        <v>71</v>
      </c>
      <c r="D25" s="36" t="s">
        <v>31</v>
      </c>
      <c r="E25" s="56">
        <v>43664</v>
      </c>
      <c r="F25" s="56">
        <v>19500</v>
      </c>
      <c r="G25" s="56">
        <v>-7289</v>
      </c>
      <c r="H25" s="56">
        <v>1300</v>
      </c>
      <c r="I25" s="59">
        <v>6.67</v>
      </c>
      <c r="J25" s="136">
        <v>0</v>
      </c>
    </row>
    <row r="26" spans="1:11" x14ac:dyDescent="0.3">
      <c r="A26" s="138" t="s">
        <v>102</v>
      </c>
      <c r="B26" s="139">
        <v>13214891007</v>
      </c>
      <c r="C26" s="54" t="s">
        <v>71</v>
      </c>
      <c r="D26" s="36" t="s">
        <v>31</v>
      </c>
      <c r="E26" s="140">
        <v>460</v>
      </c>
      <c r="F26" s="140">
        <v>10000</v>
      </c>
      <c r="G26" s="140">
        <v>-6254</v>
      </c>
      <c r="H26" s="140">
        <v>5000</v>
      </c>
      <c r="I26" s="140">
        <v>50</v>
      </c>
      <c r="J26" s="141">
        <v>0</v>
      </c>
    </row>
    <row r="27" spans="1:11" x14ac:dyDescent="0.3">
      <c r="A27" s="129" t="s">
        <v>80</v>
      </c>
      <c r="B27" s="137">
        <v>10211141006</v>
      </c>
      <c r="C27" s="54" t="s">
        <v>81</v>
      </c>
      <c r="D27" s="36" t="s">
        <v>31</v>
      </c>
      <c r="E27" s="39">
        <v>3608590</v>
      </c>
      <c r="F27" s="39">
        <v>3432555</v>
      </c>
      <c r="G27" s="39">
        <v>11085</v>
      </c>
      <c r="H27" s="39">
        <v>0</v>
      </c>
      <c r="I27" s="40">
        <v>100</v>
      </c>
      <c r="J27" s="132">
        <v>0</v>
      </c>
    </row>
    <row r="28" spans="1:11" ht="26.4" x14ac:dyDescent="0.3">
      <c r="A28" s="142" t="s">
        <v>82</v>
      </c>
      <c r="B28" s="139">
        <v>97886240585</v>
      </c>
      <c r="C28" s="63" t="s">
        <v>81</v>
      </c>
      <c r="D28" s="36" t="s">
        <v>31</v>
      </c>
      <c r="E28" s="56">
        <v>249829</v>
      </c>
      <c r="F28" s="56">
        <v>50000</v>
      </c>
      <c r="G28" s="56">
        <v>199829</v>
      </c>
      <c r="H28" s="56">
        <v>0</v>
      </c>
      <c r="I28" s="56">
        <v>100</v>
      </c>
      <c r="J28" s="136">
        <v>0</v>
      </c>
    </row>
    <row r="29" spans="1:11" ht="26.4" x14ac:dyDescent="0.3">
      <c r="A29" s="142" t="s">
        <v>84</v>
      </c>
      <c r="B29" s="139">
        <v>97886260583</v>
      </c>
      <c r="C29" s="63" t="s">
        <v>81</v>
      </c>
      <c r="D29" s="36" t="s">
        <v>31</v>
      </c>
      <c r="E29" s="56">
        <v>169828</v>
      </c>
      <c r="F29" s="56">
        <v>50000</v>
      </c>
      <c r="G29" s="56">
        <v>119828</v>
      </c>
      <c r="H29" s="56">
        <v>0</v>
      </c>
      <c r="I29" s="56">
        <v>100</v>
      </c>
      <c r="J29" s="136">
        <v>0</v>
      </c>
    </row>
    <row r="30" spans="1:11" ht="15" thickBot="1" x14ac:dyDescent="0.35">
      <c r="A30" s="143" t="s">
        <v>86</v>
      </c>
      <c r="B30" s="144" t="s">
        <v>87</v>
      </c>
      <c r="C30" s="145" t="s">
        <v>81</v>
      </c>
      <c r="D30" s="146" t="s">
        <v>31</v>
      </c>
      <c r="E30" s="147">
        <v>864114</v>
      </c>
      <c r="F30" s="147">
        <v>288228</v>
      </c>
      <c r="G30" s="147">
        <v>23611</v>
      </c>
      <c r="H30" s="147">
        <v>0</v>
      </c>
      <c r="I30" s="148">
        <v>0</v>
      </c>
      <c r="J30" s="149">
        <v>0</v>
      </c>
    </row>
    <row r="31" spans="1:11" x14ac:dyDescent="0.3">
      <c r="E31" s="76"/>
      <c r="F31" s="76"/>
      <c r="G31" s="76"/>
      <c r="H31" s="76"/>
      <c r="I31" s="76"/>
      <c r="J31" s="76"/>
    </row>
    <row r="32" spans="1:11" x14ac:dyDescent="0.3">
      <c r="A32" s="150"/>
      <c r="B32" s="151"/>
      <c r="C32" s="152"/>
      <c r="D32" s="77"/>
      <c r="E32" s="152"/>
      <c r="F32" s="152"/>
      <c r="G32" s="152"/>
      <c r="H32" s="152"/>
      <c r="I32" s="152"/>
      <c r="J32" s="152"/>
      <c r="K32" s="153"/>
    </row>
    <row r="33" spans="1:11" x14ac:dyDescent="0.3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153"/>
    </row>
    <row r="34" spans="1:11" x14ac:dyDescent="0.3">
      <c r="A34" s="76"/>
    </row>
    <row r="36" spans="1:11" x14ac:dyDescent="0.3">
      <c r="A36" s="78"/>
      <c r="B36" s="79"/>
      <c r="C36" s="80"/>
      <c r="D36" s="78"/>
      <c r="E36" s="80"/>
      <c r="F36" s="80"/>
      <c r="G36" s="80"/>
      <c r="H36" s="80"/>
      <c r="I36" s="80"/>
      <c r="J36" s="80"/>
    </row>
    <row r="37" spans="1:11" x14ac:dyDescent="0.3">
      <c r="A37" s="76"/>
      <c r="B37" s="79"/>
      <c r="C37" s="80"/>
      <c r="D37" s="78"/>
      <c r="E37" s="80"/>
      <c r="F37" s="80"/>
      <c r="G37" s="80"/>
      <c r="H37" s="80"/>
      <c r="I37" s="80"/>
      <c r="J37" s="80"/>
    </row>
    <row r="38" spans="1:11" x14ac:dyDescent="0.3">
      <c r="A38" s="76"/>
      <c r="B38" s="76"/>
      <c r="C38" s="80"/>
      <c r="D38" s="79"/>
      <c r="E38" s="80"/>
      <c r="F38" s="80"/>
      <c r="G38" s="80"/>
      <c r="H38" s="80"/>
      <c r="I38" s="80"/>
      <c r="J38" s="80"/>
    </row>
    <row r="39" spans="1:11" x14ac:dyDescent="0.3">
      <c r="A39" s="76"/>
      <c r="B39" s="76"/>
      <c r="C39" s="80"/>
      <c r="D39" s="79"/>
      <c r="E39" s="80"/>
      <c r="F39" s="80"/>
      <c r="G39" s="80"/>
      <c r="H39" s="80"/>
      <c r="I39" s="80"/>
      <c r="J39" s="80"/>
    </row>
    <row r="40" spans="1:11" x14ac:dyDescent="0.3">
      <c r="A40" s="76"/>
      <c r="B40" s="76"/>
      <c r="C40" s="80"/>
      <c r="D40" s="79"/>
      <c r="E40" s="154"/>
      <c r="F40" s="80"/>
      <c r="G40" s="80"/>
      <c r="H40" s="80"/>
      <c r="I40" s="80"/>
      <c r="J40" s="80"/>
    </row>
    <row r="41" spans="1:11" x14ac:dyDescent="0.3">
      <c r="A41" s="76"/>
      <c r="B41" s="76"/>
      <c r="C41" s="80"/>
      <c r="D41" s="79"/>
      <c r="E41" s="80"/>
      <c r="F41" s="80"/>
      <c r="G41" s="80"/>
      <c r="H41" s="80"/>
      <c r="I41" s="80"/>
      <c r="J41" s="80"/>
    </row>
    <row r="42" spans="1:11" x14ac:dyDescent="0.3">
      <c r="A42" s="76"/>
      <c r="B42" s="81"/>
      <c r="C42" s="80"/>
      <c r="D42" s="79"/>
      <c r="E42" s="80"/>
      <c r="F42" s="80"/>
      <c r="G42" s="80"/>
      <c r="H42" s="80"/>
      <c r="I42" s="80"/>
      <c r="J42" s="80"/>
    </row>
    <row r="44" spans="1:11" x14ac:dyDescent="0.3">
      <c r="A44" s="78"/>
      <c r="B44" s="82"/>
      <c r="C44" s="76"/>
      <c r="D44" s="82"/>
      <c r="E44" s="76"/>
      <c r="F44" s="76"/>
      <c r="G44" s="76"/>
      <c r="H44" s="76"/>
      <c r="I44" s="76"/>
      <c r="J44" s="76"/>
    </row>
    <row r="45" spans="1:11" x14ac:dyDescent="0.3">
      <c r="A45" s="76"/>
      <c r="B45" s="82"/>
      <c r="C45" s="76"/>
      <c r="D45" s="82"/>
      <c r="E45" s="76"/>
      <c r="F45" s="76"/>
      <c r="G45" s="76"/>
      <c r="H45" s="76"/>
      <c r="I45" s="76"/>
      <c r="J45" s="76"/>
    </row>
    <row r="46" spans="1:11" x14ac:dyDescent="0.3">
      <c r="A46" s="76"/>
    </row>
  </sheetData>
  <pageMargins left="0.11811023622047245" right="0.11811023622047245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8CA4-7E08-4A0E-BE8B-2A9F1ED65488}">
  <dimension ref="A1:K46"/>
  <sheetViews>
    <sheetView topLeftCell="B1" workbookViewId="0">
      <selection activeCell="D2" sqref="D2"/>
    </sheetView>
  </sheetViews>
  <sheetFormatPr defaultColWidth="9.109375" defaultRowHeight="14.4" x14ac:dyDescent="0.3"/>
  <cols>
    <col min="1" max="1" width="3.109375" style="1" hidden="1" customWidth="1"/>
    <col min="2" max="2" width="31.21875" style="74" customWidth="1"/>
    <col min="3" max="3" width="10.109375" style="75" customWidth="1"/>
    <col min="4" max="4" width="12.88671875" style="1" customWidth="1"/>
    <col min="5" max="5" width="5.5546875" style="75" customWidth="1"/>
    <col min="6" max="6" width="12.33203125" style="1" bestFit="1" customWidth="1"/>
    <col min="7" max="7" width="15" style="1" customWidth="1"/>
    <col min="8" max="8" width="17" style="1" customWidth="1"/>
    <col min="9" max="9" width="16.5546875" style="1" customWidth="1"/>
    <col min="10" max="10" width="11.33203125" style="1" customWidth="1"/>
    <col min="11" max="11" width="11.44140625" style="1" customWidth="1"/>
    <col min="12" max="16384" width="9.109375" style="1"/>
  </cols>
  <sheetData>
    <row r="1" spans="1:11" ht="18" x14ac:dyDescent="0.35">
      <c r="B1" s="2" t="s">
        <v>0</v>
      </c>
      <c r="C1" s="3"/>
      <c r="D1" s="4"/>
      <c r="E1" s="3"/>
    </row>
    <row r="2" spans="1:11" ht="16.8" x14ac:dyDescent="0.3">
      <c r="B2" s="342" t="s">
        <v>144</v>
      </c>
      <c r="C2" s="110"/>
      <c r="D2" s="111" t="s">
        <v>1</v>
      </c>
      <c r="E2" s="112"/>
      <c r="F2" s="74"/>
      <c r="G2" s="113"/>
    </row>
    <row r="3" spans="1:11" x14ac:dyDescent="0.3">
      <c r="B3" s="9"/>
      <c r="C3" s="10"/>
      <c r="D3" s="11"/>
      <c r="E3" s="10"/>
    </row>
    <row r="4" spans="1:11" ht="15.75" customHeight="1" x14ac:dyDescent="0.3">
      <c r="B4" s="12" t="s">
        <v>142</v>
      </c>
      <c r="C4" s="13"/>
      <c r="D4" s="14"/>
      <c r="E4" s="13"/>
    </row>
    <row r="5" spans="1:11" ht="35.25" customHeight="1" x14ac:dyDescent="0.3">
      <c r="A5" s="11"/>
      <c r="B5" s="9"/>
      <c r="C5" s="10"/>
      <c r="D5" s="11"/>
      <c r="E5" s="10"/>
    </row>
    <row r="6" spans="1:11" s="20" customFormat="1" ht="66" x14ac:dyDescent="0.3">
      <c r="A6" s="16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5" t="s">
        <v>9</v>
      </c>
      <c r="G6" s="15" t="s">
        <v>10</v>
      </c>
      <c r="H6" s="17" t="s">
        <v>11</v>
      </c>
      <c r="I6" s="15" t="s">
        <v>12</v>
      </c>
      <c r="J6" s="17" t="s">
        <v>13</v>
      </c>
      <c r="K6" s="18" t="s">
        <v>14</v>
      </c>
    </row>
    <row r="7" spans="1:11" ht="26.4" hidden="1" x14ac:dyDescent="0.3">
      <c r="B7" s="21" t="s">
        <v>29</v>
      </c>
      <c r="C7" s="22">
        <v>10019971000</v>
      </c>
      <c r="D7" s="23" t="s">
        <v>30</v>
      </c>
      <c r="E7" s="24" t="s">
        <v>31</v>
      </c>
      <c r="F7" s="25"/>
      <c r="G7" s="25"/>
      <c r="H7" s="25"/>
      <c r="I7" s="25"/>
      <c r="J7" s="26"/>
      <c r="K7" s="25"/>
    </row>
    <row r="8" spans="1:11" ht="26.4" x14ac:dyDescent="0.3">
      <c r="A8" s="27">
        <v>3</v>
      </c>
      <c r="B8" s="28" t="s">
        <v>32</v>
      </c>
      <c r="C8" s="29" t="s">
        <v>33</v>
      </c>
      <c r="D8" s="30" t="s">
        <v>34</v>
      </c>
      <c r="E8" s="31" t="s">
        <v>31</v>
      </c>
      <c r="F8" s="32">
        <v>128417538</v>
      </c>
      <c r="G8" s="32">
        <v>2254226</v>
      </c>
      <c r="H8" s="32">
        <v>-5950280</v>
      </c>
      <c r="I8" s="32">
        <v>40516.46</v>
      </c>
      <c r="J8" s="33">
        <v>1.8</v>
      </c>
      <c r="K8" s="32">
        <v>0</v>
      </c>
    </row>
    <row r="9" spans="1:11" ht="40.799999999999997" customHeight="1" x14ac:dyDescent="0.3">
      <c r="A9" s="27">
        <v>4</v>
      </c>
      <c r="B9" s="28" t="s">
        <v>37</v>
      </c>
      <c r="C9" s="35" t="s">
        <v>38</v>
      </c>
      <c r="D9" s="30" t="s">
        <v>34</v>
      </c>
      <c r="E9" s="36" t="s">
        <v>31</v>
      </c>
      <c r="F9" s="32">
        <v>1294984.8400000001</v>
      </c>
      <c r="G9" s="32">
        <v>236033</v>
      </c>
      <c r="H9" s="32">
        <v>182460.41</v>
      </c>
      <c r="I9" s="32">
        <v>3098</v>
      </c>
      <c r="J9" s="33">
        <v>1.31</v>
      </c>
      <c r="K9" s="32">
        <v>0</v>
      </c>
    </row>
    <row r="10" spans="1:11" ht="42.6" customHeight="1" x14ac:dyDescent="0.3">
      <c r="A10" s="27">
        <v>5</v>
      </c>
      <c r="B10" s="37" t="s">
        <v>42</v>
      </c>
      <c r="C10" s="35">
        <v>97368190589</v>
      </c>
      <c r="D10" s="30" t="s">
        <v>34</v>
      </c>
      <c r="E10" s="36" t="s">
        <v>43</v>
      </c>
      <c r="F10" s="38">
        <v>110197.49</v>
      </c>
      <c r="G10" s="39">
        <v>0</v>
      </c>
      <c r="H10" s="38">
        <v>110197.49</v>
      </c>
      <c r="I10" s="39">
        <v>15000</v>
      </c>
      <c r="J10" s="40">
        <v>2.56</v>
      </c>
      <c r="K10" s="32">
        <v>0</v>
      </c>
    </row>
    <row r="11" spans="1:11" ht="43.8" customHeight="1" x14ac:dyDescent="0.3">
      <c r="A11" s="27">
        <v>6</v>
      </c>
      <c r="B11" s="37" t="s">
        <v>44</v>
      </c>
      <c r="C11" s="35">
        <v>92067000346</v>
      </c>
      <c r="D11" s="30" t="s">
        <v>34</v>
      </c>
      <c r="E11" s="36" t="s">
        <v>31</v>
      </c>
      <c r="F11" s="39">
        <v>757310</v>
      </c>
      <c r="G11" s="39">
        <v>705209</v>
      </c>
      <c r="H11" s="38">
        <v>52099</v>
      </c>
      <c r="I11" s="39">
        <v>5164.57</v>
      </c>
      <c r="J11" s="40">
        <v>2.7</v>
      </c>
      <c r="K11" s="32">
        <v>0</v>
      </c>
    </row>
    <row r="12" spans="1:11" s="8" customFormat="1" ht="60" hidden="1" customHeight="1" x14ac:dyDescent="0.3">
      <c r="A12" s="41">
        <v>8</v>
      </c>
      <c r="B12" s="42" t="s">
        <v>46</v>
      </c>
      <c r="C12" s="43">
        <v>90009000432</v>
      </c>
      <c r="D12" s="44" t="s">
        <v>34</v>
      </c>
      <c r="E12" s="45" t="s">
        <v>43</v>
      </c>
      <c r="F12" s="46">
        <v>450214</v>
      </c>
      <c r="G12" s="46">
        <v>450214</v>
      </c>
      <c r="H12" s="46">
        <v>54507.79</v>
      </c>
      <c r="I12" s="46">
        <v>14239</v>
      </c>
      <c r="J12" s="47">
        <v>3.45</v>
      </c>
      <c r="K12" s="46">
        <v>3000</v>
      </c>
    </row>
    <row r="13" spans="1:11" ht="26.4" x14ac:dyDescent="0.3">
      <c r="A13" s="27">
        <v>9</v>
      </c>
      <c r="B13" s="37" t="s">
        <v>47</v>
      </c>
      <c r="C13" s="35" t="s">
        <v>48</v>
      </c>
      <c r="D13" s="30" t="s">
        <v>34</v>
      </c>
      <c r="E13" s="36" t="s">
        <v>31</v>
      </c>
      <c r="F13" s="39">
        <v>780630.83</v>
      </c>
      <c r="G13" s="39">
        <v>426165.63</v>
      </c>
      <c r="H13" s="39">
        <v>-63933.26</v>
      </c>
      <c r="I13" s="39">
        <v>47307</v>
      </c>
      <c r="J13" s="40">
        <v>6.06</v>
      </c>
      <c r="K13" s="39">
        <v>5000</v>
      </c>
    </row>
    <row r="14" spans="1:11" ht="42.6" customHeight="1" x14ac:dyDescent="0.3">
      <c r="A14" s="27">
        <v>10</v>
      </c>
      <c r="B14" s="37" t="s">
        <v>50</v>
      </c>
      <c r="C14" s="35" t="s">
        <v>51</v>
      </c>
      <c r="D14" s="30" t="s">
        <v>34</v>
      </c>
      <c r="E14" s="36" t="s">
        <v>31</v>
      </c>
      <c r="F14" s="39">
        <v>469244</v>
      </c>
      <c r="G14" s="39">
        <v>134270</v>
      </c>
      <c r="H14" s="39">
        <v>981</v>
      </c>
      <c r="I14" s="39">
        <v>5165</v>
      </c>
      <c r="J14" s="40">
        <v>4.3499999999999996</v>
      </c>
      <c r="K14" s="39">
        <v>0</v>
      </c>
    </row>
    <row r="15" spans="1:11" ht="45" customHeight="1" x14ac:dyDescent="0.3">
      <c r="A15" s="27">
        <v>11</v>
      </c>
      <c r="B15" s="37" t="s">
        <v>53</v>
      </c>
      <c r="C15" s="35">
        <v>94040540489</v>
      </c>
      <c r="D15" s="30" t="s">
        <v>34</v>
      </c>
      <c r="E15" s="36" t="s">
        <v>31</v>
      </c>
      <c r="F15" s="39">
        <v>10408482.130000001</v>
      </c>
      <c r="G15" s="39">
        <v>352352.21</v>
      </c>
      <c r="H15" s="39">
        <v>18570.27</v>
      </c>
      <c r="I15" s="39">
        <v>7340.67</v>
      </c>
      <c r="J15" s="48">
        <v>2.08</v>
      </c>
      <c r="K15" s="39">
        <v>0</v>
      </c>
    </row>
    <row r="16" spans="1:11" ht="39.6" x14ac:dyDescent="0.3">
      <c r="A16" s="49">
        <v>12</v>
      </c>
      <c r="B16" s="37" t="s">
        <v>55</v>
      </c>
      <c r="C16" s="35" t="s">
        <v>56</v>
      </c>
      <c r="D16" s="30" t="s">
        <v>34</v>
      </c>
      <c r="E16" s="36" t="s">
        <v>31</v>
      </c>
      <c r="F16" s="39">
        <v>160538</v>
      </c>
      <c r="G16" s="50">
        <v>123960</v>
      </c>
      <c r="H16" s="39">
        <v>147</v>
      </c>
      <c r="I16" s="50">
        <v>5164.57</v>
      </c>
      <c r="J16" s="48">
        <v>5.26</v>
      </c>
      <c r="K16" s="39">
        <v>0</v>
      </c>
    </row>
    <row r="17" spans="1:11" ht="57" customHeight="1" x14ac:dyDescent="0.3">
      <c r="A17" s="27">
        <v>13</v>
      </c>
      <c r="B17" s="343" t="s">
        <v>58</v>
      </c>
      <c r="C17" s="344" t="s">
        <v>59</v>
      </c>
      <c r="D17" s="30" t="s">
        <v>34</v>
      </c>
      <c r="E17" s="36" t="s">
        <v>31</v>
      </c>
      <c r="F17" s="39">
        <v>35101</v>
      </c>
      <c r="G17" s="39">
        <v>34827</v>
      </c>
      <c r="H17" s="39">
        <v>276</v>
      </c>
      <c r="I17" s="39">
        <v>4975.29</v>
      </c>
      <c r="J17" s="40">
        <v>14.28</v>
      </c>
      <c r="K17" s="39">
        <v>0</v>
      </c>
    </row>
    <row r="18" spans="1:11" s="345" customFormat="1" ht="47.4" customHeight="1" x14ac:dyDescent="0.3">
      <c r="A18" s="27">
        <v>14</v>
      </c>
      <c r="B18" s="37" t="s">
        <v>61</v>
      </c>
      <c r="C18" s="35">
        <v>97578350015</v>
      </c>
      <c r="D18" s="30" t="s">
        <v>34</v>
      </c>
      <c r="E18" s="36" t="s">
        <v>43</v>
      </c>
      <c r="F18" s="39" t="s">
        <v>62</v>
      </c>
      <c r="G18" s="39">
        <v>0</v>
      </c>
      <c r="H18" s="39">
        <v>926591.84</v>
      </c>
      <c r="I18" s="39">
        <v>2582.2800000000002</v>
      </c>
      <c r="J18" s="40">
        <v>4.55</v>
      </c>
      <c r="K18" s="39">
        <v>0</v>
      </c>
    </row>
    <row r="19" spans="1:11" ht="37.799999999999997" customHeight="1" x14ac:dyDescent="0.3">
      <c r="A19" s="27">
        <v>15</v>
      </c>
      <c r="B19" s="37" t="s">
        <v>63</v>
      </c>
      <c r="C19" s="35" t="s">
        <v>64</v>
      </c>
      <c r="D19" s="53" t="s">
        <v>34</v>
      </c>
      <c r="E19" s="36" t="s">
        <v>31</v>
      </c>
      <c r="F19" s="39">
        <v>3221405</v>
      </c>
      <c r="G19" s="39">
        <v>3551162</v>
      </c>
      <c r="H19" s="39">
        <v>-329752</v>
      </c>
      <c r="I19" s="39">
        <v>93025.49</v>
      </c>
      <c r="J19" s="40">
        <v>2.38</v>
      </c>
      <c r="K19" s="39">
        <v>0</v>
      </c>
    </row>
    <row r="20" spans="1:11" ht="26.4" x14ac:dyDescent="0.3">
      <c r="A20" s="27">
        <v>16</v>
      </c>
      <c r="B20" s="37" t="s">
        <v>65</v>
      </c>
      <c r="C20" s="35" t="s">
        <v>66</v>
      </c>
      <c r="D20" s="54" t="s">
        <v>67</v>
      </c>
      <c r="E20" s="36" t="s">
        <v>31</v>
      </c>
      <c r="F20" s="39">
        <v>489805</v>
      </c>
      <c r="G20" s="39">
        <v>383812</v>
      </c>
      <c r="H20" s="39">
        <v>1144</v>
      </c>
      <c r="I20" s="39">
        <v>10320.5</v>
      </c>
      <c r="J20" s="40">
        <v>2.69</v>
      </c>
      <c r="K20" s="39">
        <v>0</v>
      </c>
    </row>
    <row r="21" spans="1:11" ht="46.2" customHeight="1" x14ac:dyDescent="0.3">
      <c r="A21" s="27">
        <v>18</v>
      </c>
      <c r="B21" s="37" t="s">
        <v>69</v>
      </c>
      <c r="C21" s="35" t="s">
        <v>70</v>
      </c>
      <c r="D21" s="30" t="s">
        <v>71</v>
      </c>
      <c r="E21" s="36" t="s">
        <v>31</v>
      </c>
      <c r="F21" s="50">
        <v>22500</v>
      </c>
      <c r="G21" s="39">
        <v>22500</v>
      </c>
      <c r="H21" s="50">
        <v>0</v>
      </c>
      <c r="I21" s="39">
        <v>4500</v>
      </c>
      <c r="J21" s="55">
        <v>20</v>
      </c>
      <c r="K21" s="39">
        <v>0</v>
      </c>
    </row>
    <row r="22" spans="1:11" s="57" customFormat="1" ht="39.6" x14ac:dyDescent="0.3">
      <c r="A22" s="27">
        <v>19</v>
      </c>
      <c r="B22" s="37" t="s">
        <v>72</v>
      </c>
      <c r="C22" s="35" t="s">
        <v>73</v>
      </c>
      <c r="D22" s="30" t="s">
        <v>71</v>
      </c>
      <c r="E22" s="36" t="s">
        <v>31</v>
      </c>
      <c r="F22" s="56">
        <v>232713</v>
      </c>
      <c r="G22" s="56">
        <v>258228</v>
      </c>
      <c r="H22" s="56">
        <v>-6043</v>
      </c>
      <c r="I22" s="56">
        <v>51645.599999999999</v>
      </c>
      <c r="J22" s="56">
        <v>20</v>
      </c>
      <c r="K22" s="56">
        <v>0</v>
      </c>
    </row>
    <row r="23" spans="1:11" ht="52.8" customHeight="1" x14ac:dyDescent="0.3">
      <c r="A23" s="27">
        <v>21</v>
      </c>
      <c r="B23" s="37" t="s">
        <v>75</v>
      </c>
      <c r="C23" s="35">
        <v>4264541006</v>
      </c>
      <c r="D23" s="30" t="s">
        <v>71</v>
      </c>
      <c r="E23" s="36" t="s">
        <v>31</v>
      </c>
      <c r="F23" s="39">
        <v>39506</v>
      </c>
      <c r="G23" s="39">
        <v>20658</v>
      </c>
      <c r="H23" s="39">
        <v>2</v>
      </c>
      <c r="I23" s="39">
        <v>5164.57</v>
      </c>
      <c r="J23" s="40">
        <v>16.670000000000002</v>
      </c>
      <c r="K23" s="39">
        <v>0</v>
      </c>
    </row>
    <row r="24" spans="1:11" ht="49.2" customHeight="1" x14ac:dyDescent="0.3">
      <c r="A24" s="27">
        <v>23</v>
      </c>
      <c r="B24" s="28" t="s">
        <v>77</v>
      </c>
      <c r="C24" s="58">
        <v>97806560583</v>
      </c>
      <c r="D24" s="54" t="s">
        <v>71</v>
      </c>
      <c r="E24" s="36" t="s">
        <v>31</v>
      </c>
      <c r="F24" s="56">
        <v>-840</v>
      </c>
      <c r="G24" s="56">
        <v>7000</v>
      </c>
      <c r="H24" s="56">
        <v>-2248</v>
      </c>
      <c r="I24" s="56">
        <v>1000</v>
      </c>
      <c r="J24" s="59">
        <v>14.29</v>
      </c>
      <c r="K24" s="56">
        <v>0</v>
      </c>
    </row>
    <row r="25" spans="1:11" ht="24.6" customHeight="1" x14ac:dyDescent="0.3">
      <c r="A25" s="27"/>
      <c r="B25" s="28" t="s">
        <v>78</v>
      </c>
      <c r="C25" s="58">
        <v>12963691006</v>
      </c>
      <c r="D25" s="54" t="s">
        <v>71</v>
      </c>
      <c r="E25" s="36" t="s">
        <v>31</v>
      </c>
      <c r="F25" s="56">
        <v>145797</v>
      </c>
      <c r="G25" s="56">
        <v>19500</v>
      </c>
      <c r="H25" s="56">
        <v>102133</v>
      </c>
      <c r="I25" s="56">
        <v>1300</v>
      </c>
      <c r="J25" s="59">
        <v>6.67</v>
      </c>
      <c r="K25" s="56">
        <v>0</v>
      </c>
    </row>
    <row r="26" spans="1:11" ht="26.4" customHeight="1" x14ac:dyDescent="0.3">
      <c r="A26" s="27">
        <v>22</v>
      </c>
      <c r="B26" s="28" t="s">
        <v>80</v>
      </c>
      <c r="C26" s="58">
        <v>10211141006</v>
      </c>
      <c r="D26" s="54" t="s">
        <v>81</v>
      </c>
      <c r="E26" s="36" t="s">
        <v>31</v>
      </c>
      <c r="F26" s="39">
        <v>3607590</v>
      </c>
      <c r="G26" s="39">
        <v>3432555</v>
      </c>
      <c r="H26" s="39">
        <v>-1000</v>
      </c>
      <c r="I26" s="39">
        <v>0</v>
      </c>
      <c r="J26" s="40">
        <v>100</v>
      </c>
      <c r="K26" s="39">
        <v>200000</v>
      </c>
    </row>
    <row r="27" spans="1:11" ht="40.799999999999997" customHeight="1" x14ac:dyDescent="0.3">
      <c r="B27" s="61" t="s">
        <v>82</v>
      </c>
      <c r="C27" s="62">
        <v>97886240585</v>
      </c>
      <c r="D27" s="63" t="s">
        <v>81</v>
      </c>
      <c r="E27" s="36" t="s">
        <v>31</v>
      </c>
      <c r="F27" s="56">
        <v>1014750</v>
      </c>
      <c r="G27" s="56">
        <v>50000</v>
      </c>
      <c r="H27" s="56">
        <v>764921</v>
      </c>
      <c r="I27" s="56">
        <v>0</v>
      </c>
      <c r="J27" s="56">
        <v>100</v>
      </c>
      <c r="K27" s="39">
        <v>782000</v>
      </c>
    </row>
    <row r="28" spans="1:11" ht="39.6" customHeight="1" x14ac:dyDescent="0.3">
      <c r="B28" s="61" t="s">
        <v>84</v>
      </c>
      <c r="C28" s="62">
        <v>97886260583</v>
      </c>
      <c r="D28" s="63" t="s">
        <v>81</v>
      </c>
      <c r="E28" s="36" t="s">
        <v>31</v>
      </c>
      <c r="F28" s="56">
        <v>121883</v>
      </c>
      <c r="G28" s="56">
        <v>50000</v>
      </c>
      <c r="H28" s="56">
        <v>-47945</v>
      </c>
      <c r="I28" s="56">
        <v>0</v>
      </c>
      <c r="J28" s="56">
        <v>100</v>
      </c>
      <c r="K28" s="56">
        <v>150000</v>
      </c>
    </row>
    <row r="29" spans="1:11" s="8" customFormat="1" ht="27" customHeight="1" x14ac:dyDescent="0.3">
      <c r="B29" s="64" t="s">
        <v>86</v>
      </c>
      <c r="C29" s="65" t="s">
        <v>87</v>
      </c>
      <c r="D29" s="66" t="s">
        <v>81</v>
      </c>
      <c r="E29" s="67" t="s">
        <v>31</v>
      </c>
      <c r="F29" s="68">
        <v>695063</v>
      </c>
      <c r="G29" s="68">
        <v>288228</v>
      </c>
      <c r="H29" s="68">
        <v>-169049</v>
      </c>
      <c r="I29" s="68">
        <v>0</v>
      </c>
      <c r="J29" s="69">
        <v>0</v>
      </c>
      <c r="K29" s="69">
        <v>0</v>
      </c>
    </row>
    <row r="30" spans="1:11" s="70" customFormat="1" ht="31.2" customHeight="1" x14ac:dyDescent="0.3">
      <c r="B30" s="346" t="s">
        <v>89</v>
      </c>
      <c r="C30" s="67">
        <v>95255950636</v>
      </c>
      <c r="D30" s="347" t="s">
        <v>81</v>
      </c>
      <c r="E30" s="67" t="s">
        <v>31</v>
      </c>
      <c r="F30" s="348">
        <v>210000</v>
      </c>
      <c r="G30" s="348"/>
      <c r="H30" s="348"/>
      <c r="I30" s="348"/>
      <c r="J30" s="348">
        <v>2.38</v>
      </c>
      <c r="K30" s="71">
        <v>5000</v>
      </c>
    </row>
    <row r="31" spans="1:11" s="76" customFormat="1" ht="25.5" customHeight="1" x14ac:dyDescent="0.3">
      <c r="A31" s="1"/>
      <c r="B31" s="74"/>
      <c r="C31" s="75"/>
      <c r="D31" s="1"/>
      <c r="E31" s="75"/>
    </row>
    <row r="32" spans="1:11" x14ac:dyDescent="0.3">
      <c r="E32" s="77"/>
    </row>
    <row r="33" spans="2:5" s="76" customFormat="1" ht="13.8" x14ac:dyDescent="0.3"/>
    <row r="34" spans="2:5" x14ac:dyDescent="0.3">
      <c r="B34" s="76"/>
    </row>
    <row r="36" spans="2:5" s="80" customFormat="1" x14ac:dyDescent="0.3">
      <c r="B36" s="78"/>
      <c r="C36" s="79"/>
      <c r="E36" s="78"/>
    </row>
    <row r="37" spans="2:5" s="80" customFormat="1" x14ac:dyDescent="0.3">
      <c r="B37" s="76"/>
      <c r="C37" s="79"/>
      <c r="E37" s="78"/>
    </row>
    <row r="38" spans="2:5" s="80" customFormat="1" x14ac:dyDescent="0.3">
      <c r="B38" s="76"/>
      <c r="C38" s="76"/>
      <c r="E38" s="79"/>
    </row>
    <row r="39" spans="2:5" s="80" customFormat="1" x14ac:dyDescent="0.3">
      <c r="B39" s="76"/>
      <c r="C39" s="76"/>
      <c r="E39" s="79"/>
    </row>
    <row r="40" spans="2:5" s="80" customFormat="1" x14ac:dyDescent="0.3">
      <c r="B40" s="76"/>
      <c r="C40" s="76"/>
      <c r="E40" s="79"/>
    </row>
    <row r="41" spans="2:5" s="80" customFormat="1" x14ac:dyDescent="0.3">
      <c r="B41" s="76"/>
      <c r="C41" s="76"/>
      <c r="E41" s="79"/>
    </row>
    <row r="42" spans="2:5" s="80" customFormat="1" x14ac:dyDescent="0.3">
      <c r="B42" s="76"/>
      <c r="C42" s="81"/>
      <c r="E42" s="79"/>
    </row>
    <row r="44" spans="2:5" s="76" customFormat="1" ht="13.8" x14ac:dyDescent="0.3">
      <c r="B44" s="78"/>
      <c r="C44" s="82"/>
      <c r="E44" s="82"/>
    </row>
    <row r="45" spans="2:5" s="76" customFormat="1" ht="13.8" x14ac:dyDescent="0.3">
      <c r="C45" s="82"/>
      <c r="E45" s="82"/>
    </row>
    <row r="46" spans="2:5" x14ac:dyDescent="0.3">
      <c r="B46" s="76"/>
    </row>
  </sheetData>
  <pageMargins left="0.11811023622047245" right="0.11811023622047245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F35C-3686-4707-93AD-0018BCB31562}">
  <dimension ref="A1:L44"/>
  <sheetViews>
    <sheetView topLeftCell="B1" workbookViewId="0">
      <selection activeCell="P9" sqref="P9"/>
    </sheetView>
  </sheetViews>
  <sheetFormatPr defaultColWidth="9.109375" defaultRowHeight="14.4" x14ac:dyDescent="0.3"/>
  <cols>
    <col min="1" max="1" width="3.109375" style="1" hidden="1" customWidth="1"/>
    <col min="2" max="2" width="36.6640625" style="74" customWidth="1"/>
    <col min="3" max="3" width="10.109375" style="75" customWidth="1"/>
    <col min="4" max="4" width="11.44140625" style="1" customWidth="1"/>
    <col min="5" max="5" width="9.21875" style="75" customWidth="1"/>
    <col min="6" max="6" width="14.88671875" style="1" customWidth="1"/>
    <col min="7" max="7" width="15.6640625" style="1" customWidth="1"/>
    <col min="8" max="8" width="14.88671875" style="1" customWidth="1"/>
    <col min="9" max="9" width="11.109375" style="1" bestFit="1" customWidth="1"/>
    <col min="10" max="10" width="7.6640625" style="1" bestFit="1" customWidth="1"/>
    <col min="11" max="11" width="11.33203125" style="1" customWidth="1"/>
    <col min="12" max="16384" width="9.109375" style="1"/>
  </cols>
  <sheetData>
    <row r="1" spans="1:11" ht="18" x14ac:dyDescent="0.35">
      <c r="B1" s="2" t="s">
        <v>0</v>
      </c>
      <c r="C1" s="3"/>
      <c r="D1" s="4"/>
      <c r="E1" s="3"/>
    </row>
    <row r="2" spans="1:11" ht="16.8" x14ac:dyDescent="0.3">
      <c r="B2" s="342" t="s">
        <v>145</v>
      </c>
      <c r="C2" s="110"/>
      <c r="D2" s="111" t="s">
        <v>91</v>
      </c>
      <c r="E2" s="112"/>
      <c r="F2" s="74"/>
      <c r="G2" s="113"/>
    </row>
    <row r="3" spans="1:11" x14ac:dyDescent="0.3">
      <c r="B3" s="9"/>
      <c r="C3" s="10"/>
      <c r="D3" s="11"/>
      <c r="E3" s="10"/>
    </row>
    <row r="4" spans="1:11" ht="15.75" customHeight="1" x14ac:dyDescent="0.3">
      <c r="B4" s="12" t="s">
        <v>92</v>
      </c>
      <c r="C4" s="13"/>
      <c r="D4" s="14"/>
      <c r="E4" s="13"/>
    </row>
    <row r="5" spans="1:11" ht="14.4" customHeight="1" x14ac:dyDescent="0.3">
      <c r="A5" s="11"/>
      <c r="B5" s="9"/>
      <c r="C5" s="10"/>
      <c r="D5" s="11"/>
      <c r="E5" s="10"/>
    </row>
    <row r="6" spans="1:11" s="20" customFormat="1" ht="81" customHeight="1" x14ac:dyDescent="0.3">
      <c r="A6" s="16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5" t="s">
        <v>93</v>
      </c>
      <c r="G6" s="15" t="s">
        <v>94</v>
      </c>
      <c r="H6" s="17" t="s">
        <v>95</v>
      </c>
      <c r="I6" s="15" t="s">
        <v>12</v>
      </c>
      <c r="J6" s="17" t="s">
        <v>13</v>
      </c>
      <c r="K6" s="18" t="s">
        <v>14</v>
      </c>
    </row>
    <row r="7" spans="1:11" ht="26.4" x14ac:dyDescent="0.3">
      <c r="A7" s="27">
        <v>3</v>
      </c>
      <c r="B7" s="28" t="s">
        <v>32</v>
      </c>
      <c r="C7" s="29" t="s">
        <v>33</v>
      </c>
      <c r="D7" s="30" t="s">
        <v>34</v>
      </c>
      <c r="E7" s="31" t="s">
        <v>31</v>
      </c>
      <c r="F7" s="84">
        <v>90183688</v>
      </c>
      <c r="G7" s="84">
        <v>2329226</v>
      </c>
      <c r="H7" s="84">
        <v>-38308850</v>
      </c>
      <c r="I7" s="32"/>
      <c r="J7" s="33"/>
      <c r="K7" s="32">
        <v>0</v>
      </c>
    </row>
    <row r="8" spans="1:11" ht="26.4" customHeight="1" x14ac:dyDescent="0.3">
      <c r="A8" s="27">
        <v>4</v>
      </c>
      <c r="B8" s="28" t="s">
        <v>37</v>
      </c>
      <c r="C8" s="35" t="s">
        <v>38</v>
      </c>
      <c r="D8" s="30" t="s">
        <v>34</v>
      </c>
      <c r="E8" s="36" t="s">
        <v>31</v>
      </c>
      <c r="F8" s="87">
        <v>2008105.17</v>
      </c>
      <c r="G8" s="87">
        <v>236033</v>
      </c>
      <c r="H8" s="87">
        <v>613120.32999999996</v>
      </c>
      <c r="I8" s="32"/>
      <c r="J8" s="33"/>
      <c r="K8" s="32">
        <v>0</v>
      </c>
    </row>
    <row r="9" spans="1:11" ht="44.4" customHeight="1" x14ac:dyDescent="0.3">
      <c r="A9" s="27">
        <v>5</v>
      </c>
      <c r="B9" s="37" t="s">
        <v>42</v>
      </c>
      <c r="C9" s="35">
        <v>97368190589</v>
      </c>
      <c r="D9" s="30" t="s">
        <v>34</v>
      </c>
      <c r="E9" s="36" t="s">
        <v>43</v>
      </c>
      <c r="F9" s="89">
        <v>5478</v>
      </c>
      <c r="G9" s="90">
        <v>0</v>
      </c>
      <c r="H9" s="89">
        <v>-32652</v>
      </c>
      <c r="I9" s="39"/>
      <c r="J9" s="40"/>
      <c r="K9" s="32">
        <v>0</v>
      </c>
    </row>
    <row r="10" spans="1:11" ht="34.200000000000003" customHeight="1" x14ac:dyDescent="0.3">
      <c r="A10" s="27">
        <v>6</v>
      </c>
      <c r="B10" s="37" t="s">
        <v>44</v>
      </c>
      <c r="C10" s="35">
        <v>92067000346</v>
      </c>
      <c r="D10" s="30" t="s">
        <v>34</v>
      </c>
      <c r="E10" s="36" t="s">
        <v>31</v>
      </c>
      <c r="F10" s="89">
        <v>12277523.48</v>
      </c>
      <c r="G10" s="89">
        <v>0</v>
      </c>
      <c r="H10" s="89">
        <v>33238</v>
      </c>
      <c r="I10" s="39"/>
      <c r="J10" s="40"/>
      <c r="K10" s="32">
        <v>0</v>
      </c>
    </row>
    <row r="11" spans="1:11" ht="26.4" x14ac:dyDescent="0.3">
      <c r="A11" s="27">
        <v>9</v>
      </c>
      <c r="B11" s="37" t="s">
        <v>47</v>
      </c>
      <c r="C11" s="35" t="s">
        <v>48</v>
      </c>
      <c r="D11" s="30" t="s">
        <v>34</v>
      </c>
      <c r="E11" s="36" t="s">
        <v>31</v>
      </c>
      <c r="F11" s="89">
        <v>705130.3</v>
      </c>
      <c r="G11" s="89">
        <v>426165.63</v>
      </c>
      <c r="H11" s="91">
        <v>-75500.53</v>
      </c>
      <c r="I11" s="39"/>
      <c r="J11" s="40"/>
      <c r="K11" s="39">
        <v>5000</v>
      </c>
    </row>
    <row r="12" spans="1:11" ht="34.200000000000003" customHeight="1" x14ac:dyDescent="0.3">
      <c r="A12" s="27">
        <v>10</v>
      </c>
      <c r="B12" s="37" t="s">
        <v>50</v>
      </c>
      <c r="C12" s="35" t="s">
        <v>51</v>
      </c>
      <c r="D12" s="30" t="s">
        <v>34</v>
      </c>
      <c r="E12" s="36" t="s">
        <v>31</v>
      </c>
      <c r="F12" s="89">
        <v>473797</v>
      </c>
      <c r="G12" s="89">
        <v>134270</v>
      </c>
      <c r="H12" s="89">
        <v>4556</v>
      </c>
      <c r="I12" s="39"/>
      <c r="J12" s="40"/>
      <c r="K12" s="39">
        <v>0</v>
      </c>
    </row>
    <row r="13" spans="1:11" ht="43.8" customHeight="1" x14ac:dyDescent="0.3">
      <c r="A13" s="27">
        <v>11</v>
      </c>
      <c r="B13" s="37" t="s">
        <v>53</v>
      </c>
      <c r="C13" s="35">
        <v>94040540489</v>
      </c>
      <c r="D13" s="30" t="s">
        <v>34</v>
      </c>
      <c r="E13" s="36" t="s">
        <v>31</v>
      </c>
      <c r="F13" s="89">
        <f>352352.22+54936+10096530.66</f>
        <v>10503818.880000001</v>
      </c>
      <c r="G13" s="89">
        <v>352352.21</v>
      </c>
      <c r="H13" s="89">
        <v>54936.31</v>
      </c>
      <c r="I13" s="39"/>
      <c r="J13" s="48"/>
      <c r="K13" s="39">
        <v>0</v>
      </c>
    </row>
    <row r="14" spans="1:11" ht="43.8" customHeight="1" x14ac:dyDescent="0.3">
      <c r="A14" s="49">
        <v>12</v>
      </c>
      <c r="B14" s="37" t="s">
        <v>55</v>
      </c>
      <c r="C14" s="35" t="s">
        <v>56</v>
      </c>
      <c r="D14" s="30" t="s">
        <v>34</v>
      </c>
      <c r="E14" s="36" t="s">
        <v>31</v>
      </c>
      <c r="F14" s="90">
        <v>160569</v>
      </c>
      <c r="G14" s="93">
        <v>123950</v>
      </c>
      <c r="H14" s="90">
        <v>30</v>
      </c>
      <c r="I14" s="50"/>
      <c r="J14" s="48"/>
      <c r="K14" s="39">
        <v>0</v>
      </c>
    </row>
    <row r="15" spans="1:11" ht="45.6" customHeight="1" x14ac:dyDescent="0.3">
      <c r="A15" s="27">
        <v>13</v>
      </c>
      <c r="B15" s="94" t="s">
        <v>58</v>
      </c>
      <c r="C15" s="95" t="s">
        <v>59</v>
      </c>
      <c r="D15" s="96" t="s">
        <v>34</v>
      </c>
      <c r="E15" s="67" t="s">
        <v>31</v>
      </c>
      <c r="F15" s="90">
        <v>22422</v>
      </c>
      <c r="G15" s="90">
        <v>0</v>
      </c>
      <c r="H15" s="90">
        <v>238</v>
      </c>
      <c r="I15" s="38"/>
      <c r="J15" s="97"/>
      <c r="K15" s="38">
        <v>0</v>
      </c>
    </row>
    <row r="16" spans="1:11" s="52" customFormat="1" ht="43.8" customHeight="1" x14ac:dyDescent="0.3">
      <c r="A16" s="51">
        <v>14</v>
      </c>
      <c r="B16" s="98" t="s">
        <v>61</v>
      </c>
      <c r="C16" s="99">
        <v>97578350015</v>
      </c>
      <c r="D16" s="96" t="s">
        <v>34</v>
      </c>
      <c r="E16" s="67" t="s">
        <v>43</v>
      </c>
      <c r="F16" s="90">
        <v>0</v>
      </c>
      <c r="G16" s="90">
        <v>0</v>
      </c>
      <c r="H16" s="90">
        <v>-3312779.61</v>
      </c>
      <c r="I16" s="38"/>
      <c r="J16" s="97"/>
      <c r="K16" s="38">
        <v>0</v>
      </c>
    </row>
    <row r="17" spans="1:12" ht="30.6" customHeight="1" x14ac:dyDescent="0.3">
      <c r="A17" s="27">
        <v>15</v>
      </c>
      <c r="B17" s="37" t="s">
        <v>63</v>
      </c>
      <c r="C17" s="35" t="s">
        <v>64</v>
      </c>
      <c r="D17" s="53" t="s">
        <v>34</v>
      </c>
      <c r="E17" s="36" t="s">
        <v>31</v>
      </c>
      <c r="F17" s="89">
        <v>2974837</v>
      </c>
      <c r="G17" s="89">
        <v>3221409</v>
      </c>
      <c r="H17" s="89">
        <v>-246573</v>
      </c>
      <c r="I17" s="39"/>
      <c r="J17" s="40"/>
      <c r="K17" s="39">
        <v>0</v>
      </c>
    </row>
    <row r="18" spans="1:12" ht="39.6" x14ac:dyDescent="0.3">
      <c r="A18" s="27">
        <v>16</v>
      </c>
      <c r="B18" s="37" t="s">
        <v>65</v>
      </c>
      <c r="C18" s="35" t="s">
        <v>66</v>
      </c>
      <c r="D18" s="54" t="s">
        <v>67</v>
      </c>
      <c r="E18" s="36" t="s">
        <v>31</v>
      </c>
      <c r="F18" s="100">
        <v>498313</v>
      </c>
      <c r="G18" s="101">
        <v>398321</v>
      </c>
      <c r="H18" s="101">
        <v>1888</v>
      </c>
      <c r="I18" s="39"/>
      <c r="J18" s="40"/>
      <c r="K18" s="39">
        <v>0</v>
      </c>
    </row>
    <row r="19" spans="1:12" ht="32.4" customHeight="1" x14ac:dyDescent="0.3">
      <c r="A19" s="27">
        <v>18</v>
      </c>
      <c r="B19" s="37" t="s">
        <v>69</v>
      </c>
      <c r="C19" s="35" t="s">
        <v>70</v>
      </c>
      <c r="D19" s="30" t="s">
        <v>71</v>
      </c>
      <c r="E19" s="36" t="s">
        <v>31</v>
      </c>
      <c r="F19" s="93">
        <v>22500</v>
      </c>
      <c r="G19" s="90">
        <v>22500</v>
      </c>
      <c r="H19" s="93">
        <v>0</v>
      </c>
      <c r="I19" s="39"/>
      <c r="J19" s="55"/>
      <c r="K19" s="39">
        <v>0</v>
      </c>
    </row>
    <row r="20" spans="1:12" s="57" customFormat="1" ht="26.4" x14ac:dyDescent="0.3">
      <c r="A20" s="27">
        <v>19</v>
      </c>
      <c r="B20" s="37" t="s">
        <v>72</v>
      </c>
      <c r="C20" s="35" t="s">
        <v>73</v>
      </c>
      <c r="D20" s="30" t="s">
        <v>71</v>
      </c>
      <c r="E20" s="36" t="s">
        <v>31</v>
      </c>
      <c r="F20" s="102">
        <v>237501</v>
      </c>
      <c r="G20" s="102">
        <v>258228</v>
      </c>
      <c r="H20" s="102">
        <v>4787</v>
      </c>
      <c r="I20" s="56"/>
      <c r="J20" s="56"/>
      <c r="K20" s="56">
        <v>0</v>
      </c>
    </row>
    <row r="21" spans="1:12" ht="49.2" customHeight="1" x14ac:dyDescent="0.3">
      <c r="A21" s="27">
        <v>21</v>
      </c>
      <c r="B21" s="37" t="s">
        <v>75</v>
      </c>
      <c r="C21" s="35">
        <v>4264541006</v>
      </c>
      <c r="D21" s="30" t="s">
        <v>71</v>
      </c>
      <c r="E21" s="36" t="s">
        <v>31</v>
      </c>
      <c r="F21" s="89">
        <v>39515</v>
      </c>
      <c r="G21" s="89">
        <v>20658</v>
      </c>
      <c r="H21" s="89">
        <v>9</v>
      </c>
      <c r="I21" s="39"/>
      <c r="J21" s="40"/>
      <c r="K21" s="39"/>
    </row>
    <row r="22" spans="1:12" ht="43.8" customHeight="1" x14ac:dyDescent="0.3">
      <c r="A22" s="27">
        <v>23</v>
      </c>
      <c r="B22" s="28" t="s">
        <v>77</v>
      </c>
      <c r="C22" s="58">
        <v>97806560583</v>
      </c>
      <c r="D22" s="54" t="s">
        <v>71</v>
      </c>
      <c r="E22" s="36" t="s">
        <v>31</v>
      </c>
      <c r="F22" s="103">
        <v>0</v>
      </c>
      <c r="G22" s="103">
        <v>7000</v>
      </c>
      <c r="H22" s="103">
        <v>-11586</v>
      </c>
      <c r="I22" s="56"/>
      <c r="J22" s="59"/>
      <c r="K22" s="56">
        <v>0</v>
      </c>
      <c r="L22" s="104"/>
    </row>
    <row r="23" spans="1:12" ht="22.2" customHeight="1" x14ac:dyDescent="0.3">
      <c r="A23" s="27"/>
      <c r="B23" s="28" t="s">
        <v>78</v>
      </c>
      <c r="C23" s="58">
        <v>12963691006</v>
      </c>
      <c r="D23" s="54" t="s">
        <v>71</v>
      </c>
      <c r="E23" s="36" t="s">
        <v>31</v>
      </c>
      <c r="F23" s="103">
        <v>139429</v>
      </c>
      <c r="G23" s="103">
        <v>19500</v>
      </c>
      <c r="H23" s="103">
        <v>-6367</v>
      </c>
      <c r="I23" s="56"/>
      <c r="J23" s="59"/>
      <c r="K23" s="56">
        <v>0</v>
      </c>
    </row>
    <row r="24" spans="1:12" ht="29.4" customHeight="1" x14ac:dyDescent="0.3">
      <c r="A24" s="27">
        <v>22</v>
      </c>
      <c r="B24" s="28" t="s">
        <v>80</v>
      </c>
      <c r="C24" s="58">
        <v>10211141006</v>
      </c>
      <c r="D24" s="54" t="s">
        <v>81</v>
      </c>
      <c r="E24" s="36" t="s">
        <v>31</v>
      </c>
      <c r="F24" s="90">
        <v>3610910</v>
      </c>
      <c r="G24" s="90">
        <v>3432555</v>
      </c>
      <c r="H24" s="90">
        <v>3320</v>
      </c>
      <c r="I24" s="39"/>
      <c r="J24" s="40"/>
      <c r="K24" s="39">
        <v>200000</v>
      </c>
    </row>
    <row r="25" spans="1:12" ht="31.8" customHeight="1" x14ac:dyDescent="0.3">
      <c r="B25" s="61" t="s">
        <v>82</v>
      </c>
      <c r="C25" s="62">
        <v>97886240585</v>
      </c>
      <c r="D25" s="63" t="s">
        <v>81</v>
      </c>
      <c r="E25" s="36" t="s">
        <v>31</v>
      </c>
      <c r="F25" s="102">
        <v>910054</v>
      </c>
      <c r="G25" s="102">
        <v>50000</v>
      </c>
      <c r="H25" s="102">
        <v>-104696</v>
      </c>
      <c r="I25" s="56"/>
      <c r="J25" s="56"/>
      <c r="K25" s="39">
        <v>782000</v>
      </c>
    </row>
    <row r="26" spans="1:12" ht="30" customHeight="1" x14ac:dyDescent="0.3">
      <c r="B26" s="61" t="s">
        <v>84</v>
      </c>
      <c r="C26" s="62">
        <v>97886260583</v>
      </c>
      <c r="D26" s="63" t="s">
        <v>81</v>
      </c>
      <c r="E26" s="36" t="s">
        <v>31</v>
      </c>
      <c r="F26" s="103">
        <v>72952</v>
      </c>
      <c r="G26" s="103">
        <v>50000</v>
      </c>
      <c r="H26" s="103">
        <v>-48931</v>
      </c>
      <c r="I26" s="56"/>
      <c r="J26" s="56"/>
      <c r="K26" s="56">
        <v>150000</v>
      </c>
    </row>
    <row r="27" spans="1:12" s="8" customFormat="1" ht="27" customHeight="1" x14ac:dyDescent="0.3">
      <c r="B27" s="64" t="s">
        <v>86</v>
      </c>
      <c r="C27" s="65" t="s">
        <v>87</v>
      </c>
      <c r="D27" s="66" t="s">
        <v>81</v>
      </c>
      <c r="E27" s="67" t="s">
        <v>31</v>
      </c>
      <c r="F27" s="102">
        <v>949992</v>
      </c>
      <c r="G27" s="102">
        <v>288228</v>
      </c>
      <c r="H27" s="102">
        <v>254928</v>
      </c>
      <c r="I27" s="68"/>
      <c r="J27" s="69"/>
      <c r="K27" s="69">
        <v>0</v>
      </c>
    </row>
    <row r="28" spans="1:12" s="349" customFormat="1" ht="31.2" customHeight="1" x14ac:dyDescent="0.3">
      <c r="B28" s="346" t="s">
        <v>89</v>
      </c>
      <c r="C28" s="295">
        <v>95255950636</v>
      </c>
      <c r="D28" s="329" t="s">
        <v>81</v>
      </c>
      <c r="E28" s="295" t="s">
        <v>31</v>
      </c>
      <c r="F28" s="106">
        <v>285647</v>
      </c>
      <c r="G28" s="107">
        <v>255000</v>
      </c>
      <c r="H28" s="106">
        <v>30647</v>
      </c>
      <c r="I28" s="350"/>
      <c r="J28" s="350"/>
      <c r="K28" s="348">
        <v>5000</v>
      </c>
    </row>
    <row r="29" spans="1:12" s="76" customFormat="1" ht="25.5" customHeight="1" x14ac:dyDescent="0.3">
      <c r="A29" s="1"/>
      <c r="B29" s="74"/>
      <c r="C29" s="75"/>
      <c r="D29" s="1"/>
      <c r="E29" s="75"/>
    </row>
    <row r="30" spans="1:12" x14ac:dyDescent="0.3">
      <c r="E30" s="77"/>
    </row>
    <row r="31" spans="1:12" s="76" customFormat="1" ht="13.8" x14ac:dyDescent="0.3"/>
    <row r="32" spans="1:12" x14ac:dyDescent="0.3">
      <c r="B32" s="76"/>
    </row>
    <row r="34" spans="2:5" s="80" customFormat="1" x14ac:dyDescent="0.3">
      <c r="B34" s="78"/>
      <c r="C34" s="79"/>
      <c r="E34" s="78"/>
    </row>
    <row r="35" spans="2:5" s="80" customFormat="1" x14ac:dyDescent="0.3">
      <c r="B35" s="76"/>
      <c r="C35" s="79"/>
      <c r="E35" s="78"/>
    </row>
    <row r="36" spans="2:5" s="80" customFormat="1" x14ac:dyDescent="0.3">
      <c r="B36" s="76"/>
      <c r="C36" s="76"/>
      <c r="E36" s="79"/>
    </row>
    <row r="37" spans="2:5" s="80" customFormat="1" x14ac:dyDescent="0.3">
      <c r="B37" s="76"/>
      <c r="C37" s="76"/>
      <c r="E37" s="79"/>
    </row>
    <row r="38" spans="2:5" s="80" customFormat="1" x14ac:dyDescent="0.3">
      <c r="B38" s="76"/>
      <c r="C38" s="76"/>
      <c r="E38" s="79"/>
    </row>
    <row r="39" spans="2:5" s="80" customFormat="1" x14ac:dyDescent="0.3">
      <c r="B39" s="76"/>
      <c r="C39" s="76"/>
      <c r="E39" s="79"/>
    </row>
    <row r="40" spans="2:5" s="80" customFormat="1" x14ac:dyDescent="0.3">
      <c r="B40" s="76"/>
      <c r="C40" s="81"/>
      <c r="E40" s="79"/>
    </row>
    <row r="42" spans="2:5" s="76" customFormat="1" ht="13.8" x14ac:dyDescent="0.3">
      <c r="B42" s="78"/>
      <c r="C42" s="82"/>
      <c r="E42" s="82"/>
    </row>
    <row r="43" spans="2:5" s="76" customFormat="1" ht="13.8" x14ac:dyDescent="0.3">
      <c r="C43" s="82"/>
      <c r="E43" s="82"/>
    </row>
    <row r="44" spans="2:5" x14ac:dyDescent="0.3">
      <c r="B44" s="76"/>
    </row>
  </sheetData>
  <pageMargins left="0.11811023622047245" right="0.11811023622047245" top="0.35433070866141736" bottom="0.35433070866141736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A943-9C40-4DAA-ACF2-7B9AF91F0C62}">
  <dimension ref="A1:AI28"/>
  <sheetViews>
    <sheetView topLeftCell="B1" workbookViewId="0">
      <selection activeCell="AN6" sqref="AN6"/>
    </sheetView>
  </sheetViews>
  <sheetFormatPr defaultColWidth="9.109375" defaultRowHeight="14.4" x14ac:dyDescent="0.3"/>
  <cols>
    <col min="1" max="1" width="3.109375" style="104" hidden="1" customWidth="1"/>
    <col min="2" max="2" width="37.21875" style="20" customWidth="1"/>
    <col min="3" max="3" width="11.44140625" style="274" customWidth="1"/>
    <col min="4" max="4" width="13.33203125" style="104" customWidth="1"/>
    <col min="5" max="5" width="12.5546875" style="274" customWidth="1"/>
    <col min="6" max="6" width="12.109375" style="104" bestFit="1" customWidth="1"/>
    <col min="7" max="7" width="11.44140625" style="104" customWidth="1"/>
    <col min="8" max="8" width="14.6640625" style="104" customWidth="1"/>
    <col min="9" max="9" width="11.109375" style="158" bestFit="1" customWidth="1"/>
    <col min="10" max="10" width="7.6640625" style="159" bestFit="1" customWidth="1"/>
    <col min="11" max="11" width="11.33203125" style="104" customWidth="1"/>
    <col min="12" max="12" width="12.6640625" style="158" hidden="1" customWidth="1"/>
    <col min="13" max="13" width="12.6640625" style="104" hidden="1" customWidth="1"/>
    <col min="14" max="14" width="12" style="104" hidden="1" customWidth="1"/>
    <col min="15" max="15" width="11.44140625" style="104" hidden="1" customWidth="1"/>
    <col min="16" max="16" width="11.5546875" style="104" hidden="1" customWidth="1"/>
    <col min="17" max="17" width="12.5546875" style="104" hidden="1" customWidth="1"/>
    <col min="18" max="18" width="12" style="104" hidden="1" customWidth="1"/>
    <col min="19" max="19" width="13.109375" style="104" hidden="1" customWidth="1"/>
    <col min="20" max="20" width="12" style="104" hidden="1" customWidth="1"/>
    <col min="21" max="21" width="14.6640625" style="160" hidden="1" customWidth="1"/>
    <col min="22" max="24" width="14" style="160" hidden="1" customWidth="1"/>
    <col min="25" max="26" width="14" style="161" hidden="1" customWidth="1"/>
    <col min="27" max="27" width="14.88671875" style="104" hidden="1" customWidth="1"/>
    <col min="28" max="28" width="15.109375" style="104" hidden="1" customWidth="1"/>
    <col min="29" max="29" width="16" style="104" hidden="1" customWidth="1"/>
    <col min="30" max="30" width="13.109375" style="104" hidden="1" customWidth="1"/>
    <col min="31" max="31" width="28" style="162" hidden="1" customWidth="1"/>
    <col min="32" max="32" width="32.33203125" style="163" hidden="1" customWidth="1"/>
    <col min="33" max="33" width="17.5546875" style="163" hidden="1" customWidth="1"/>
    <col min="34" max="34" width="16" style="6" hidden="1" customWidth="1"/>
    <col min="35" max="35" width="10.6640625" style="7" hidden="1" customWidth="1"/>
    <col min="36" max="36" width="0" style="104" hidden="1" customWidth="1"/>
    <col min="37" max="16384" width="9.109375" style="104"/>
  </cols>
  <sheetData>
    <row r="1" spans="1:35" ht="18" x14ac:dyDescent="0.3">
      <c r="B1" s="155" t="s">
        <v>0</v>
      </c>
      <c r="C1" s="156"/>
      <c r="D1" s="157"/>
      <c r="E1" s="156"/>
    </row>
    <row r="2" spans="1:35" ht="16.8" x14ac:dyDescent="0.3">
      <c r="B2" s="351" t="s">
        <v>146</v>
      </c>
      <c r="C2" s="352"/>
      <c r="D2" s="353" t="s">
        <v>103</v>
      </c>
      <c r="E2" s="354"/>
      <c r="F2" s="20"/>
      <c r="H2" s="355"/>
      <c r="Y2" s="104"/>
      <c r="Z2" s="104"/>
    </row>
    <row r="3" spans="1:35" x14ac:dyDescent="0.3">
      <c r="B3" s="164"/>
      <c r="C3" s="165"/>
      <c r="D3" s="166"/>
      <c r="E3" s="165"/>
    </row>
    <row r="4" spans="1:35" x14ac:dyDescent="0.3">
      <c r="B4" s="167" t="s">
        <v>104</v>
      </c>
      <c r="C4" s="168"/>
      <c r="D4" s="169"/>
      <c r="E4" s="168"/>
      <c r="N4" s="170"/>
      <c r="U4" s="171">
        <v>2019</v>
      </c>
      <c r="V4" s="171">
        <v>2019</v>
      </c>
      <c r="W4" s="171">
        <v>2018</v>
      </c>
      <c r="X4" s="171">
        <v>2018</v>
      </c>
      <c r="Y4" s="172">
        <v>2017</v>
      </c>
      <c r="Z4" s="172">
        <v>2017</v>
      </c>
      <c r="AA4" s="173">
        <v>2016</v>
      </c>
      <c r="AB4" s="173">
        <v>2016</v>
      </c>
      <c r="AC4" s="174">
        <v>2015</v>
      </c>
      <c r="AD4" s="174">
        <v>2015</v>
      </c>
    </row>
    <row r="5" spans="1:35" ht="26.4" x14ac:dyDescent="0.3">
      <c r="A5" s="166"/>
      <c r="B5" s="164"/>
      <c r="C5" s="165"/>
      <c r="D5" s="166"/>
      <c r="E5" s="165"/>
      <c r="U5" s="175" t="s">
        <v>2</v>
      </c>
      <c r="V5" s="175" t="s">
        <v>3</v>
      </c>
      <c r="W5" s="175" t="s">
        <v>2</v>
      </c>
      <c r="X5" s="175" t="s">
        <v>3</v>
      </c>
      <c r="Y5" s="176" t="s">
        <v>2</v>
      </c>
      <c r="Z5" s="176" t="s">
        <v>3</v>
      </c>
      <c r="AA5" s="15" t="s">
        <v>2</v>
      </c>
      <c r="AB5" s="15" t="s">
        <v>3</v>
      </c>
      <c r="AC5" s="15" t="s">
        <v>2</v>
      </c>
      <c r="AD5" s="15" t="s">
        <v>3</v>
      </c>
      <c r="AF5" s="177"/>
    </row>
    <row r="6" spans="1:35" s="20" customFormat="1" ht="92.4" x14ac:dyDescent="0.3">
      <c r="A6" s="16" t="s">
        <v>4</v>
      </c>
      <c r="B6" s="178" t="s">
        <v>5</v>
      </c>
      <c r="C6" s="17" t="s">
        <v>6</v>
      </c>
      <c r="D6" s="17" t="s">
        <v>7</v>
      </c>
      <c r="E6" s="17" t="s">
        <v>8</v>
      </c>
      <c r="F6" s="15" t="s">
        <v>105</v>
      </c>
      <c r="G6" s="15" t="s">
        <v>106</v>
      </c>
      <c r="H6" s="17" t="s">
        <v>107</v>
      </c>
      <c r="I6" s="179" t="s">
        <v>12</v>
      </c>
      <c r="J6" s="180" t="s">
        <v>13</v>
      </c>
      <c r="K6" s="18" t="s">
        <v>14</v>
      </c>
      <c r="L6" s="181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18" t="s">
        <v>20</v>
      </c>
      <c r="R6" s="18" t="s">
        <v>21</v>
      </c>
      <c r="S6" s="18" t="s">
        <v>22</v>
      </c>
      <c r="T6" s="18" t="s">
        <v>23</v>
      </c>
      <c r="U6" s="182" t="s">
        <v>24</v>
      </c>
      <c r="V6" s="182" t="s">
        <v>25</v>
      </c>
      <c r="W6" s="182" t="s">
        <v>24</v>
      </c>
      <c r="X6" s="182" t="s">
        <v>25</v>
      </c>
      <c r="Y6" s="183" t="s">
        <v>24</v>
      </c>
      <c r="Z6" s="183" t="s">
        <v>25</v>
      </c>
      <c r="AA6" s="18" t="s">
        <v>24</v>
      </c>
      <c r="AB6" s="18" t="s">
        <v>25</v>
      </c>
      <c r="AC6" s="18" t="s">
        <v>24</v>
      </c>
      <c r="AD6" s="18" t="s">
        <v>25</v>
      </c>
      <c r="AE6" s="19" t="s">
        <v>26</v>
      </c>
      <c r="AF6" s="184" t="s">
        <v>27</v>
      </c>
      <c r="AG6" s="185" t="s">
        <v>28</v>
      </c>
      <c r="AH6" s="83" t="s">
        <v>96</v>
      </c>
      <c r="AI6" s="83" t="s">
        <v>97</v>
      </c>
    </row>
    <row r="7" spans="1:35" ht="33.6" customHeight="1" x14ac:dyDescent="0.3">
      <c r="A7" s="166">
        <v>3</v>
      </c>
      <c r="B7" s="186" t="s">
        <v>32</v>
      </c>
      <c r="C7" s="187" t="s">
        <v>33</v>
      </c>
      <c r="D7" s="188" t="s">
        <v>34</v>
      </c>
      <c r="E7" s="189" t="s">
        <v>31</v>
      </c>
      <c r="F7" s="84">
        <v>102013698</v>
      </c>
      <c r="G7" s="84">
        <f>2329226+125000</f>
        <v>2454226</v>
      </c>
      <c r="H7" s="84">
        <v>11705010</v>
      </c>
      <c r="I7" s="190">
        <v>40516.46</v>
      </c>
      <c r="J7" s="191">
        <v>1.7</v>
      </c>
      <c r="K7" s="84">
        <v>0</v>
      </c>
      <c r="L7" s="190">
        <v>114425440</v>
      </c>
      <c r="M7" s="84">
        <v>10295529</v>
      </c>
      <c r="N7" s="84">
        <v>2049355</v>
      </c>
      <c r="O7" s="84">
        <v>165344</v>
      </c>
      <c r="P7" s="84">
        <v>2991401</v>
      </c>
      <c r="Q7" s="84">
        <v>1651065</v>
      </c>
      <c r="R7" s="84">
        <f>8904875+5004616</f>
        <v>13909491</v>
      </c>
      <c r="S7" s="84">
        <v>68296</v>
      </c>
      <c r="T7" s="84">
        <f>SUM(O7:R7)</f>
        <v>18717301</v>
      </c>
      <c r="U7" s="192">
        <f>L7/(O7+P7)</f>
        <v>36.247919930181247</v>
      </c>
      <c r="V7" s="192">
        <f t="shared" ref="V7:V28" si="0">L7/T7</f>
        <v>6.1133514922904748</v>
      </c>
      <c r="W7" s="192">
        <f>'[1]2018'!U8</f>
        <v>28.484737319487103</v>
      </c>
      <c r="X7" s="192">
        <f>'[1]2018'!V8</f>
        <v>4.0600738759642905</v>
      </c>
      <c r="Y7" s="87">
        <v>3.2558216286623769</v>
      </c>
      <c r="Z7" s="87">
        <v>2.7799277953196415</v>
      </c>
      <c r="AA7" s="84">
        <v>2.180463526613162</v>
      </c>
      <c r="AB7" s="84">
        <v>1.949937714193225</v>
      </c>
      <c r="AC7" s="193">
        <f>'[2]2015'!U7</f>
        <v>3.6981548304192131</v>
      </c>
      <c r="AD7" s="193">
        <f>'[2]2015'!V7</f>
        <v>3.497385659420551</v>
      </c>
      <c r="AE7" s="194"/>
      <c r="AF7" s="195" t="s">
        <v>35</v>
      </c>
      <c r="AG7" s="196" t="s">
        <v>36</v>
      </c>
      <c r="AH7" s="197" t="s">
        <v>108</v>
      </c>
      <c r="AI7" s="86"/>
    </row>
    <row r="8" spans="1:35" ht="27" customHeight="1" x14ac:dyDescent="0.3">
      <c r="A8" s="166">
        <v>4</v>
      </c>
      <c r="B8" s="186" t="s">
        <v>37</v>
      </c>
      <c r="C8" s="198" t="s">
        <v>38</v>
      </c>
      <c r="D8" s="188" t="s">
        <v>34</v>
      </c>
      <c r="E8" s="199" t="s">
        <v>31</v>
      </c>
      <c r="F8" s="84">
        <v>2397164.96</v>
      </c>
      <c r="G8" s="84">
        <v>236033</v>
      </c>
      <c r="H8" s="84">
        <v>389059.79</v>
      </c>
      <c r="I8" s="190">
        <v>3098</v>
      </c>
      <c r="J8" s="191">
        <v>1.31</v>
      </c>
      <c r="K8" s="84">
        <v>0</v>
      </c>
      <c r="L8" s="190">
        <v>4414132.45</v>
      </c>
      <c r="M8" s="84">
        <v>0</v>
      </c>
      <c r="N8" s="84">
        <v>209700.39</v>
      </c>
      <c r="O8" s="84">
        <v>495.68</v>
      </c>
      <c r="P8" s="84">
        <v>1452278</v>
      </c>
      <c r="Q8" s="84">
        <v>0</v>
      </c>
      <c r="R8" s="84">
        <v>600734.44999999995</v>
      </c>
      <c r="S8" s="84">
        <v>432333.61</v>
      </c>
      <c r="T8" s="84">
        <f t="shared" ref="T8:T13" si="1">SUM(O8:R8)</f>
        <v>2053508.13</v>
      </c>
      <c r="U8" s="192">
        <f t="shared" ref="U8:U23" si="2">L8/(O8+P8)</f>
        <v>3.0384171401012718</v>
      </c>
      <c r="V8" s="192">
        <f t="shared" si="0"/>
        <v>2.149556841540238</v>
      </c>
      <c r="W8" s="192">
        <f>'[1]2018'!U9</f>
        <v>3.372005502642442</v>
      </c>
      <c r="X8" s="192">
        <f>'[1]2018'!V9</f>
        <v>2.1872072347885547</v>
      </c>
      <c r="Y8" s="87">
        <v>2.0625377365293902</v>
      </c>
      <c r="Z8" s="87">
        <v>1.5276399216505849</v>
      </c>
      <c r="AA8" s="84">
        <v>1.5386658464675329</v>
      </c>
      <c r="AB8" s="84">
        <v>1.5386658464675329</v>
      </c>
      <c r="AC8" s="193">
        <f>'[2]2015'!U8</f>
        <v>2.5601794037068255</v>
      </c>
      <c r="AD8" s="193">
        <f>'[2]2015'!V8</f>
        <v>1.4245778031459855</v>
      </c>
      <c r="AE8" s="194" t="s">
        <v>39</v>
      </c>
      <c r="AF8" s="200" t="s">
        <v>40</v>
      </c>
      <c r="AG8" s="196" t="s">
        <v>41</v>
      </c>
      <c r="AH8" s="197" t="s">
        <v>109</v>
      </c>
      <c r="AI8" s="88"/>
    </row>
    <row r="9" spans="1:35" ht="35.4" customHeight="1" x14ac:dyDescent="0.3">
      <c r="A9" s="166">
        <v>6</v>
      </c>
      <c r="B9" s="201" t="s">
        <v>44</v>
      </c>
      <c r="C9" s="198">
        <v>92067000346</v>
      </c>
      <c r="D9" s="188" t="s">
        <v>34</v>
      </c>
      <c r="E9" s="199" t="s">
        <v>31</v>
      </c>
      <c r="F9" s="90">
        <v>11432282.970000001</v>
      </c>
      <c r="G9" s="90">
        <v>0</v>
      </c>
      <c r="H9" s="90">
        <v>28835.79</v>
      </c>
      <c r="I9" s="202">
        <v>5164.57</v>
      </c>
      <c r="J9" s="203">
        <v>2.7</v>
      </c>
      <c r="K9" s="84">
        <v>0</v>
      </c>
      <c r="L9" s="190">
        <v>3313802.16</v>
      </c>
      <c r="M9" s="84">
        <v>9652920.3000000007</v>
      </c>
      <c r="N9" s="84">
        <v>0</v>
      </c>
      <c r="O9" s="84">
        <v>0</v>
      </c>
      <c r="P9" s="84">
        <v>2309690.9700000002</v>
      </c>
      <c r="Q9" s="84">
        <v>0</v>
      </c>
      <c r="R9" s="84">
        <v>987664.33</v>
      </c>
      <c r="S9" s="84">
        <v>0</v>
      </c>
      <c r="T9" s="84">
        <f t="shared" si="1"/>
        <v>3297355.3000000003</v>
      </c>
      <c r="U9" s="192">
        <f t="shared" si="2"/>
        <v>1.4347383277859029</v>
      </c>
      <c r="V9" s="192">
        <f t="shared" si="0"/>
        <v>1.004987894389179</v>
      </c>
      <c r="W9" s="192">
        <f>'[1]2018'!U11</f>
        <v>1.2744737575750007</v>
      </c>
      <c r="X9" s="192">
        <f>'[1]2018'!V11</f>
        <v>1.0200996020556639</v>
      </c>
      <c r="Y9" s="87">
        <v>5.9236424032773556</v>
      </c>
      <c r="Z9" s="87">
        <v>5.9236424032773556</v>
      </c>
      <c r="AA9" s="204">
        <v>3.219304114826111</v>
      </c>
      <c r="AB9" s="84">
        <v>3.219304114826111</v>
      </c>
      <c r="AC9" s="193">
        <f>'[2]2015'!U10</f>
        <v>4.8126644028528958</v>
      </c>
      <c r="AD9" s="193">
        <f>'[2]2015'!V10</f>
        <v>4.8126644028528958</v>
      </c>
      <c r="AF9" s="195" t="s">
        <v>45</v>
      </c>
      <c r="AG9" s="196" t="s">
        <v>41</v>
      </c>
      <c r="AH9" s="197" t="s">
        <v>110</v>
      </c>
      <c r="AI9" s="88"/>
    </row>
    <row r="10" spans="1:35" ht="30" customHeight="1" x14ac:dyDescent="0.3">
      <c r="A10" s="166">
        <v>9</v>
      </c>
      <c r="B10" s="201" t="s">
        <v>47</v>
      </c>
      <c r="C10" s="198" t="s">
        <v>48</v>
      </c>
      <c r="D10" s="188" t="s">
        <v>34</v>
      </c>
      <c r="E10" s="199" t="s">
        <v>31</v>
      </c>
      <c r="F10" s="90">
        <v>729705.07</v>
      </c>
      <c r="G10" s="90">
        <v>400342.79</v>
      </c>
      <c r="H10" s="202">
        <v>24574.77</v>
      </c>
      <c r="I10" s="202">
        <v>46811.1</v>
      </c>
      <c r="J10" s="203">
        <v>6.42</v>
      </c>
      <c r="K10" s="90">
        <v>5000</v>
      </c>
      <c r="L10" s="202">
        <v>1247310.5900000001</v>
      </c>
      <c r="M10" s="90">
        <v>0</v>
      </c>
      <c r="N10" s="90">
        <v>0</v>
      </c>
      <c r="O10" s="90">
        <v>0</v>
      </c>
      <c r="P10" s="90">
        <v>360138.41</v>
      </c>
      <c r="Q10" s="90">
        <v>0</v>
      </c>
      <c r="R10" s="90">
        <v>220143.12</v>
      </c>
      <c r="S10" s="90">
        <v>33750</v>
      </c>
      <c r="T10" s="84">
        <f>SUM(O10:R10)</f>
        <v>580281.53</v>
      </c>
      <c r="U10" s="192">
        <f t="shared" si="2"/>
        <v>3.4634200500857437</v>
      </c>
      <c r="V10" s="192">
        <f t="shared" si="0"/>
        <v>2.1494921439253805</v>
      </c>
      <c r="W10" s="192">
        <f>'[1]2018'!U13</f>
        <v>3.1899530942737249</v>
      </c>
      <c r="X10" s="192">
        <f>'[1]2018'!V13</f>
        <v>2.0694020637701032</v>
      </c>
      <c r="Y10" s="87">
        <v>3.3210308250369946</v>
      </c>
      <c r="Z10" s="87">
        <v>2.2367494620367445</v>
      </c>
      <c r="AA10" s="84">
        <v>2.8843937458215247</v>
      </c>
      <c r="AB10" s="84">
        <v>2.0893208552036806</v>
      </c>
      <c r="AC10" s="193">
        <f>'[2]2015'!U12</f>
        <v>4.1419649031579713</v>
      </c>
      <c r="AD10" s="193">
        <f>'[2]2015'!V12</f>
        <v>2.7973783474944867</v>
      </c>
      <c r="AF10" s="195" t="s">
        <v>49</v>
      </c>
      <c r="AG10" s="207">
        <v>3800</v>
      </c>
      <c r="AH10" s="197" t="s">
        <v>111</v>
      </c>
      <c r="AI10" s="92"/>
    </row>
    <row r="11" spans="1:35" ht="31.8" customHeight="1" x14ac:dyDescent="0.3">
      <c r="A11" s="166">
        <v>10</v>
      </c>
      <c r="B11" s="201" t="s">
        <v>50</v>
      </c>
      <c r="C11" s="198" t="s">
        <v>51</v>
      </c>
      <c r="D11" s="188" t="s">
        <v>34</v>
      </c>
      <c r="E11" s="199" t="s">
        <v>31</v>
      </c>
      <c r="F11" s="90">
        <v>474794</v>
      </c>
      <c r="G11" s="90">
        <v>134270</v>
      </c>
      <c r="H11" s="90">
        <v>995</v>
      </c>
      <c r="I11" s="202">
        <v>5165</v>
      </c>
      <c r="J11" s="203">
        <v>4.3499999999999996</v>
      </c>
      <c r="K11" s="90">
        <v>0</v>
      </c>
      <c r="L11" s="202">
        <f>6215403</f>
        <v>6215403</v>
      </c>
      <c r="M11" s="90">
        <f>26393</f>
        <v>26393</v>
      </c>
      <c r="N11" s="90">
        <f>859</f>
        <v>859</v>
      </c>
      <c r="O11" s="90">
        <v>0</v>
      </c>
      <c r="P11" s="90">
        <v>48952</v>
      </c>
      <c r="Q11" s="90">
        <v>0</v>
      </c>
      <c r="R11" s="90">
        <f>85566+4404</f>
        <v>89970</v>
      </c>
      <c r="S11" s="90">
        <v>5620</v>
      </c>
      <c r="T11" s="84">
        <f t="shared" si="1"/>
        <v>138922</v>
      </c>
      <c r="U11" s="192">
        <f>L11/(O11+P11)</f>
        <v>126.96933731001798</v>
      </c>
      <c r="V11" s="192">
        <f t="shared" si="0"/>
        <v>44.74023552785016</v>
      </c>
      <c r="W11" s="192">
        <f>'[1]2018'!U14</f>
        <v>173.64539743523181</v>
      </c>
      <c r="X11" s="192">
        <f>'[1]2018'!V14</f>
        <v>71.615434028521264</v>
      </c>
      <c r="Y11" s="87">
        <v>1.0555222040438159</v>
      </c>
      <c r="Z11" s="87">
        <v>1.0456509347304368</v>
      </c>
      <c r="AA11" s="84">
        <v>1.066468727115609</v>
      </c>
      <c r="AB11" s="84">
        <v>1.0547120668121037</v>
      </c>
      <c r="AC11" s="193">
        <f>'[2]2015'!U13</f>
        <v>1.0716941172649972</v>
      </c>
      <c r="AD11" s="193">
        <f>'[2]2015'!V13</f>
        <v>1.0590115804302667</v>
      </c>
      <c r="AF11" s="208" t="s">
        <v>52</v>
      </c>
      <c r="AG11" s="196" t="s">
        <v>41</v>
      </c>
      <c r="AH11" s="197" t="s">
        <v>112</v>
      </c>
      <c r="AI11" s="88"/>
    </row>
    <row r="12" spans="1:35" ht="49.8" customHeight="1" x14ac:dyDescent="0.3">
      <c r="A12" s="166">
        <v>11</v>
      </c>
      <c r="B12" s="201" t="s">
        <v>53</v>
      </c>
      <c r="C12" s="198">
        <v>94040540489</v>
      </c>
      <c r="D12" s="188" t="s">
        <v>34</v>
      </c>
      <c r="E12" s="199" t="s">
        <v>31</v>
      </c>
      <c r="F12" s="90">
        <v>10529065</v>
      </c>
      <c r="G12" s="90">
        <v>352352.21</v>
      </c>
      <c r="H12" s="90">
        <v>25246</v>
      </c>
      <c r="I12" s="202">
        <v>7340.67</v>
      </c>
      <c r="J12" s="209">
        <v>2.08</v>
      </c>
      <c r="K12" s="90">
        <v>0</v>
      </c>
      <c r="L12" s="210">
        <v>13261975</v>
      </c>
      <c r="M12" s="90">
        <v>13203</v>
      </c>
      <c r="N12" s="211">
        <v>1189906</v>
      </c>
      <c r="O12" s="90">
        <v>0</v>
      </c>
      <c r="P12" s="90">
        <v>1521322</v>
      </c>
      <c r="Q12" s="90">
        <v>0</v>
      </c>
      <c r="R12" s="90">
        <v>0</v>
      </c>
      <c r="S12" s="211">
        <v>2969438</v>
      </c>
      <c r="T12" s="84">
        <f t="shared" si="1"/>
        <v>1521322</v>
      </c>
      <c r="U12" s="192">
        <f>L12/(O12+P12)</f>
        <v>8.7174017071993966</v>
      </c>
      <c r="V12" s="192">
        <f t="shared" si="0"/>
        <v>8.7174017071993966</v>
      </c>
      <c r="W12" s="192">
        <f>'[1]2018'!U15</f>
        <v>30.852893675732911</v>
      </c>
      <c r="X12" s="192">
        <f>'[1]2018'!V15</f>
        <v>14.732970455180974</v>
      </c>
      <c r="Y12" s="87">
        <v>6.365779793085304</v>
      </c>
      <c r="Z12" s="87">
        <v>5.4098136949881743</v>
      </c>
      <c r="AA12" s="84">
        <v>6.365779793085304</v>
      </c>
      <c r="AB12" s="84">
        <v>5.4098136949881743</v>
      </c>
      <c r="AC12" s="193">
        <f>'[2]2015'!U14</f>
        <v>9.9393554004576909</v>
      </c>
      <c r="AD12" s="193">
        <f>'[2]2015'!V14</f>
        <v>7.8340818416793878</v>
      </c>
      <c r="AF12" s="195" t="s">
        <v>54</v>
      </c>
      <c r="AG12" s="196" t="s">
        <v>41</v>
      </c>
      <c r="AH12" s="197" t="s">
        <v>113</v>
      </c>
      <c r="AI12" s="88"/>
    </row>
    <row r="13" spans="1:35" ht="43.2" x14ac:dyDescent="0.3">
      <c r="A13" s="212">
        <v>12</v>
      </c>
      <c r="B13" s="201" t="s">
        <v>55</v>
      </c>
      <c r="C13" s="198" t="s">
        <v>56</v>
      </c>
      <c r="D13" s="188" t="s">
        <v>34</v>
      </c>
      <c r="E13" s="199" t="s">
        <v>31</v>
      </c>
      <c r="F13" s="90">
        <v>161010</v>
      </c>
      <c r="G13" s="93">
        <v>123950</v>
      </c>
      <c r="H13" s="90">
        <v>441</v>
      </c>
      <c r="I13" s="93">
        <v>5164.57</v>
      </c>
      <c r="J13" s="209">
        <v>5.26</v>
      </c>
      <c r="K13" s="90">
        <v>0</v>
      </c>
      <c r="L13" s="202">
        <v>1004776</v>
      </c>
      <c r="M13" s="90">
        <v>0</v>
      </c>
      <c r="N13" s="90">
        <v>1127</v>
      </c>
      <c r="O13" s="90">
        <v>0</v>
      </c>
      <c r="P13" s="90">
        <v>907059</v>
      </c>
      <c r="Q13" s="90">
        <v>0</v>
      </c>
      <c r="R13" s="90">
        <v>2058</v>
      </c>
      <c r="S13" s="90">
        <v>0</v>
      </c>
      <c r="T13" s="84">
        <f t="shared" si="1"/>
        <v>909117</v>
      </c>
      <c r="U13" s="192">
        <f t="shared" si="2"/>
        <v>1.1077294861745488</v>
      </c>
      <c r="V13" s="192">
        <f t="shared" si="0"/>
        <v>1.1052218801320401</v>
      </c>
      <c r="W13" s="192">
        <f>'[1]2018'!U16</f>
        <v>1.172765293265239</v>
      </c>
      <c r="X13" s="192">
        <f>'[1]2018'!V16</f>
        <v>1.1495313403010272</v>
      </c>
      <c r="Y13" s="87">
        <v>1.2585517795221495</v>
      </c>
      <c r="Z13" s="87">
        <v>1.1910443564860982</v>
      </c>
      <c r="AA13" s="84">
        <v>1.2833923988757179</v>
      </c>
      <c r="AB13" s="84">
        <v>1.2146828743994742</v>
      </c>
      <c r="AC13" s="193">
        <f>'[2]2015'!U15</f>
        <v>1.3954734919771932</v>
      </c>
      <c r="AD13" s="193">
        <f>'[2]2015'!V15</f>
        <v>1.3458029994420582</v>
      </c>
      <c r="AF13" s="208" t="s">
        <v>57</v>
      </c>
      <c r="AG13" s="196" t="s">
        <v>41</v>
      </c>
      <c r="AH13" s="213" t="s">
        <v>114</v>
      </c>
      <c r="AI13" s="88"/>
    </row>
    <row r="14" spans="1:35" ht="52.8" x14ac:dyDescent="0.3">
      <c r="A14" s="166">
        <v>13</v>
      </c>
      <c r="B14" s="214" t="s">
        <v>58</v>
      </c>
      <c r="C14" s="215" t="s">
        <v>59</v>
      </c>
      <c r="D14" s="188" t="s">
        <v>34</v>
      </c>
      <c r="E14" s="199" t="s">
        <v>31</v>
      </c>
      <c r="F14" s="216">
        <v>22422</v>
      </c>
      <c r="G14" s="216">
        <v>0</v>
      </c>
      <c r="H14" s="216">
        <v>238</v>
      </c>
      <c r="I14" s="217">
        <v>4975.29</v>
      </c>
      <c r="J14" s="218">
        <v>14.28</v>
      </c>
      <c r="K14" s="216">
        <v>0</v>
      </c>
      <c r="L14" s="217">
        <v>56743</v>
      </c>
      <c r="M14" s="216">
        <v>0</v>
      </c>
      <c r="N14" s="216">
        <v>2870</v>
      </c>
      <c r="O14" s="216">
        <v>0</v>
      </c>
      <c r="P14" s="216">
        <v>36516</v>
      </c>
      <c r="Q14" s="216">
        <v>0</v>
      </c>
      <c r="R14" s="216">
        <v>1854</v>
      </c>
      <c r="S14" s="216">
        <v>1700</v>
      </c>
      <c r="T14" s="219">
        <v>38370</v>
      </c>
      <c r="U14" s="220">
        <f t="shared" si="2"/>
        <v>1.553921568627451</v>
      </c>
      <c r="V14" s="220">
        <f t="shared" si="0"/>
        <v>1.4788376335678917</v>
      </c>
      <c r="W14" s="192">
        <f>'[1]2018'!U17</f>
        <v>1.553921568627451</v>
      </c>
      <c r="X14" s="192">
        <f>'[1]2018'!V17</f>
        <v>1.4788376335678917</v>
      </c>
      <c r="Y14" s="84">
        <v>4.2332165381920115</v>
      </c>
      <c r="Z14" s="84">
        <v>2.2722587925521909</v>
      </c>
      <c r="AA14" s="84">
        <v>4.2332165381920115</v>
      </c>
      <c r="AB14" s="84">
        <v>2.2722587925521909</v>
      </c>
      <c r="AC14" s="193">
        <f>'[2]2015'!U16</f>
        <v>3.6669781099839831</v>
      </c>
      <c r="AD14" s="193">
        <f>'[2]2015'!V16</f>
        <v>2.4918820861678004</v>
      </c>
      <c r="AE14" s="194" t="s">
        <v>115</v>
      </c>
      <c r="AF14" s="195" t="s">
        <v>60</v>
      </c>
      <c r="AG14" s="196" t="s">
        <v>41</v>
      </c>
      <c r="AH14" s="197" t="s">
        <v>116</v>
      </c>
      <c r="AI14" s="88"/>
    </row>
    <row r="15" spans="1:35" s="161" customFormat="1" ht="40.799999999999997" customHeight="1" x14ac:dyDescent="0.3">
      <c r="A15" s="221">
        <v>16</v>
      </c>
      <c r="B15" s="201" t="s">
        <v>65</v>
      </c>
      <c r="C15" s="198" t="s">
        <v>66</v>
      </c>
      <c r="D15" s="222" t="s">
        <v>67</v>
      </c>
      <c r="E15" s="199" t="s">
        <v>31</v>
      </c>
      <c r="F15" s="223">
        <v>496622</v>
      </c>
      <c r="G15" s="223">
        <v>383811</v>
      </c>
      <c r="H15" s="223">
        <v>5291</v>
      </c>
      <c r="I15" s="202">
        <v>11115.52</v>
      </c>
      <c r="J15" s="203">
        <v>2.74</v>
      </c>
      <c r="K15" s="90">
        <v>0</v>
      </c>
      <c r="L15" s="223">
        <v>757049</v>
      </c>
      <c r="M15" s="224">
        <v>0</v>
      </c>
      <c r="N15" s="224">
        <v>1986</v>
      </c>
      <c r="O15" s="224">
        <v>0</v>
      </c>
      <c r="P15" s="223">
        <v>271026</v>
      </c>
      <c r="Q15" s="224">
        <v>0</v>
      </c>
      <c r="R15" s="223">
        <v>2536</v>
      </c>
      <c r="S15" s="225">
        <v>0</v>
      </c>
      <c r="T15" s="190">
        <f t="shared" ref="T15:T18" si="3">SUM(O15:R15)</f>
        <v>273562</v>
      </c>
      <c r="U15" s="192">
        <f t="shared" si="2"/>
        <v>2.7932707563112027</v>
      </c>
      <c r="V15" s="192">
        <f t="shared" si="0"/>
        <v>2.7673763168861174</v>
      </c>
      <c r="W15" s="192">
        <f>'[1]2018'!U20</f>
        <v>2.8594433160364803</v>
      </c>
      <c r="X15" s="192">
        <f>'[1]2018'!V20</f>
        <v>2.6942963166575042</v>
      </c>
      <c r="Y15" s="87">
        <v>1.6377615149523705</v>
      </c>
      <c r="Z15" s="87">
        <v>1.611331447604484</v>
      </c>
      <c r="AA15" s="87">
        <v>1.3389510644325786</v>
      </c>
      <c r="AB15" s="87">
        <v>1.3308036569518784</v>
      </c>
      <c r="AC15" s="226">
        <f>'[2]2015'!U19</f>
        <v>1.4348682707759759</v>
      </c>
      <c r="AD15" s="226">
        <f>'[2]2015'!V19</f>
        <v>1.4313861107912753</v>
      </c>
      <c r="AE15" s="162"/>
      <c r="AF15" s="227" t="s">
        <v>68</v>
      </c>
      <c r="AG15" s="228">
        <v>25000</v>
      </c>
      <c r="AH15" s="197" t="s">
        <v>117</v>
      </c>
      <c r="AI15" s="92"/>
    </row>
    <row r="16" spans="1:35" ht="39" customHeight="1" x14ac:dyDescent="0.3">
      <c r="A16" s="166">
        <v>18</v>
      </c>
      <c r="B16" s="201" t="s">
        <v>69</v>
      </c>
      <c r="C16" s="198" t="s">
        <v>70</v>
      </c>
      <c r="D16" s="188" t="s">
        <v>71</v>
      </c>
      <c r="E16" s="199" t="s">
        <v>31</v>
      </c>
      <c r="F16" s="93">
        <v>22500</v>
      </c>
      <c r="G16" s="90">
        <v>22500</v>
      </c>
      <c r="H16" s="93">
        <v>0</v>
      </c>
      <c r="I16" s="202">
        <v>4500</v>
      </c>
      <c r="J16" s="229">
        <v>20</v>
      </c>
      <c r="K16" s="90">
        <v>0</v>
      </c>
      <c r="L16" s="202">
        <v>338862</v>
      </c>
      <c r="M16" s="90">
        <v>0</v>
      </c>
      <c r="N16" s="90">
        <v>0</v>
      </c>
      <c r="O16" s="90">
        <v>0</v>
      </c>
      <c r="P16" s="90">
        <v>329862</v>
      </c>
      <c r="Q16" s="90">
        <v>0</v>
      </c>
      <c r="R16" s="90">
        <v>0</v>
      </c>
      <c r="S16" s="90">
        <v>0</v>
      </c>
      <c r="T16" s="84">
        <f t="shared" si="3"/>
        <v>329862</v>
      </c>
      <c r="U16" s="192">
        <f t="shared" si="2"/>
        <v>1.0272841370027466</v>
      </c>
      <c r="V16" s="192">
        <f t="shared" si="0"/>
        <v>1.0272841370027466</v>
      </c>
      <c r="W16" s="192">
        <f>'[1]2018'!U21</f>
        <v>1.0406318707364752</v>
      </c>
      <c r="X16" s="192">
        <f>'[1]2018'!V21</f>
        <v>1.0406318707364752</v>
      </c>
      <c r="Y16" s="87">
        <v>1.0378473450092129</v>
      </c>
      <c r="Z16" s="87">
        <v>1.0378473450092129</v>
      </c>
      <c r="AA16" s="230">
        <v>0.99668992471623319</v>
      </c>
      <c r="AB16" s="230">
        <v>0.99668992471623319</v>
      </c>
      <c r="AC16" s="193">
        <f>'[2]2015'!U20</f>
        <v>1.1793608767933008</v>
      </c>
      <c r="AD16" s="193">
        <f>'[2]2015'!V20</f>
        <v>1.1793608767933008</v>
      </c>
      <c r="AF16" s="195" t="s">
        <v>54</v>
      </c>
      <c r="AG16" s="196" t="s">
        <v>41</v>
      </c>
      <c r="AH16" s="197" t="s">
        <v>118</v>
      </c>
      <c r="AI16" s="88"/>
    </row>
    <row r="17" spans="1:35" s="232" customFormat="1" ht="53.4" customHeight="1" x14ac:dyDescent="0.3">
      <c r="A17" s="166">
        <v>19</v>
      </c>
      <c r="B17" s="201" t="s">
        <v>72</v>
      </c>
      <c r="C17" s="198" t="s">
        <v>73</v>
      </c>
      <c r="D17" s="188" t="s">
        <v>71</v>
      </c>
      <c r="E17" s="199" t="s">
        <v>31</v>
      </c>
      <c r="F17" s="103">
        <v>240099</v>
      </c>
      <c r="G17" s="103">
        <v>258228</v>
      </c>
      <c r="H17" s="103">
        <v>2596</v>
      </c>
      <c r="I17" s="223">
        <v>51645.599999999999</v>
      </c>
      <c r="J17" s="231">
        <v>20</v>
      </c>
      <c r="K17" s="223" t="s">
        <v>119</v>
      </c>
      <c r="L17" s="202">
        <v>3489721</v>
      </c>
      <c r="M17" s="90">
        <v>208800</v>
      </c>
      <c r="N17" s="90">
        <v>2270</v>
      </c>
      <c r="O17" s="103">
        <v>0</v>
      </c>
      <c r="P17" s="90">
        <v>2826453</v>
      </c>
      <c r="Q17" s="103"/>
      <c r="R17" s="90">
        <v>96103</v>
      </c>
      <c r="S17" s="90">
        <v>354029</v>
      </c>
      <c r="T17" s="84">
        <f>SUM(O17:R17)</f>
        <v>2922556</v>
      </c>
      <c r="U17" s="192">
        <f t="shared" si="2"/>
        <v>1.2346644363093955</v>
      </c>
      <c r="V17" s="192">
        <f t="shared" si="0"/>
        <v>1.1940647159541169</v>
      </c>
      <c r="W17" s="192">
        <f>'[1]2018'!U22</f>
        <v>1.5033779461676815</v>
      </c>
      <c r="X17" s="192">
        <f>'[1]2018'!V22</f>
        <v>1.2296911933242605</v>
      </c>
      <c r="Y17" s="87">
        <v>1.2716042682474673</v>
      </c>
      <c r="Z17" s="87">
        <v>1.0915061469644318</v>
      </c>
      <c r="AA17" s="84">
        <v>1.3860381422488592</v>
      </c>
      <c r="AB17" s="84">
        <v>1.1262964720527886</v>
      </c>
      <c r="AC17" s="193">
        <f>'[2]2015'!U21</f>
        <v>1.5604722137777698</v>
      </c>
      <c r="AD17" s="193">
        <f>'[2]2015'!V21</f>
        <v>1.217051963105761</v>
      </c>
      <c r="AE17" s="162"/>
      <c r="AF17" s="208" t="s">
        <v>74</v>
      </c>
      <c r="AG17" s="196" t="s">
        <v>41</v>
      </c>
      <c r="AH17" s="197" t="s">
        <v>120</v>
      </c>
      <c r="AI17" s="88"/>
    </row>
    <row r="18" spans="1:35" ht="49.8" customHeight="1" x14ac:dyDescent="0.3">
      <c r="A18" s="166">
        <v>21</v>
      </c>
      <c r="B18" s="201" t="s">
        <v>75</v>
      </c>
      <c r="C18" s="198">
        <v>4264541006</v>
      </c>
      <c r="D18" s="188" t="s">
        <v>71</v>
      </c>
      <c r="E18" s="199" t="s">
        <v>31</v>
      </c>
      <c r="F18" s="90">
        <v>39610</v>
      </c>
      <c r="G18" s="90">
        <v>0</v>
      </c>
      <c r="H18" s="90">
        <v>95</v>
      </c>
      <c r="I18" s="202">
        <v>5164.57</v>
      </c>
      <c r="J18" s="203">
        <v>16.670000000000002</v>
      </c>
      <c r="K18" s="90"/>
      <c r="L18" s="202">
        <v>88610</v>
      </c>
      <c r="M18" s="90">
        <v>2743</v>
      </c>
      <c r="N18" s="90">
        <v>0</v>
      </c>
      <c r="O18" s="90">
        <v>0</v>
      </c>
      <c r="P18" s="90">
        <v>12493</v>
      </c>
      <c r="Q18" s="90">
        <v>0</v>
      </c>
      <c r="R18" s="90">
        <v>36998</v>
      </c>
      <c r="S18" s="90">
        <v>1129</v>
      </c>
      <c r="T18" s="84">
        <f t="shared" si="3"/>
        <v>49491</v>
      </c>
      <c r="U18" s="192">
        <f t="shared" si="2"/>
        <v>7.0927719522932842</v>
      </c>
      <c r="V18" s="192">
        <f t="shared" si="0"/>
        <v>1.7904265421995917</v>
      </c>
      <c r="W18" s="192">
        <f>'[1]2018'!U23</f>
        <v>14.089739130434783</v>
      </c>
      <c r="X18" s="192">
        <f>'[1]2018'!V23</f>
        <v>1.7900132567388423</v>
      </c>
      <c r="Y18" s="87">
        <v>4.5224396394713491</v>
      </c>
      <c r="Z18" s="87">
        <v>1.6764884095355159</v>
      </c>
      <c r="AA18" s="84">
        <v>3.658452238318266</v>
      </c>
      <c r="AB18" s="84">
        <v>1.3560873690372852</v>
      </c>
      <c r="AC18" s="193">
        <f>'[2]2015'!U22</f>
        <v>1.3834999112280812</v>
      </c>
      <c r="AD18" s="193">
        <f>'[2]2015'!V22</f>
        <v>1.162785492337131</v>
      </c>
      <c r="AF18" s="195" t="s">
        <v>76</v>
      </c>
      <c r="AG18" s="196" t="s">
        <v>41</v>
      </c>
      <c r="AH18" s="197" t="s">
        <v>121</v>
      </c>
      <c r="AI18" s="88"/>
    </row>
    <row r="19" spans="1:35" ht="25.8" customHeight="1" x14ac:dyDescent="0.3">
      <c r="A19" s="166"/>
      <c r="B19" s="186" t="s">
        <v>78</v>
      </c>
      <c r="C19" s="233">
        <v>12963691006</v>
      </c>
      <c r="D19" s="222" t="s">
        <v>71</v>
      </c>
      <c r="E19" s="199" t="s">
        <v>31</v>
      </c>
      <c r="F19" s="103">
        <v>93595</v>
      </c>
      <c r="G19" s="103">
        <v>19500</v>
      </c>
      <c r="H19" s="103">
        <v>-45834</v>
      </c>
      <c r="I19" s="223">
        <v>1300</v>
      </c>
      <c r="J19" s="234">
        <v>6.67</v>
      </c>
      <c r="K19" s="103">
        <v>0</v>
      </c>
      <c r="L19" s="223">
        <v>143095</v>
      </c>
      <c r="M19" s="103">
        <v>0</v>
      </c>
      <c r="N19" s="103">
        <v>10</v>
      </c>
      <c r="O19" s="103">
        <v>0</v>
      </c>
      <c r="P19" s="103">
        <v>22457</v>
      </c>
      <c r="Q19" s="103">
        <v>0</v>
      </c>
      <c r="R19" s="103">
        <v>0</v>
      </c>
      <c r="S19" s="103">
        <v>27053</v>
      </c>
      <c r="T19" s="84">
        <f>SUM(O19:R19)</f>
        <v>22457</v>
      </c>
      <c r="U19" s="192">
        <f>L19/(O19+P19)</f>
        <v>6.3719552923364651</v>
      </c>
      <c r="V19" s="192">
        <f t="shared" si="0"/>
        <v>6.3719552923364651</v>
      </c>
      <c r="W19" s="192">
        <f>'[1]2018'!U25</f>
        <v>5.0588269319759371</v>
      </c>
      <c r="X19" s="192">
        <f>'[1]2018'!V25</f>
        <v>5.0588269319759371</v>
      </c>
      <c r="Y19" s="87">
        <v>1.708702676739007</v>
      </c>
      <c r="Z19" s="87">
        <v>1.7041056782715989</v>
      </c>
      <c r="AA19" s="84">
        <v>17.642209072978304</v>
      </c>
      <c r="AB19" s="84">
        <v>17.642209072978304</v>
      </c>
      <c r="AC19" s="193" t="s">
        <v>62</v>
      </c>
      <c r="AD19" s="193" t="s">
        <v>62</v>
      </c>
      <c r="AF19" s="195" t="s">
        <v>79</v>
      </c>
      <c r="AG19" s="196" t="s">
        <v>41</v>
      </c>
      <c r="AH19" s="197" t="s">
        <v>122</v>
      </c>
      <c r="AI19" s="88"/>
    </row>
    <row r="20" spans="1:35" ht="27" customHeight="1" x14ac:dyDescent="0.3">
      <c r="A20" s="166">
        <v>22</v>
      </c>
      <c r="B20" s="186" t="s">
        <v>80</v>
      </c>
      <c r="C20" s="233">
        <v>10211141006</v>
      </c>
      <c r="D20" s="222" t="s">
        <v>81</v>
      </c>
      <c r="E20" s="199" t="s">
        <v>31</v>
      </c>
      <c r="F20" s="90">
        <v>3575575</v>
      </c>
      <c r="G20" s="90">
        <v>3432555</v>
      </c>
      <c r="H20" s="90">
        <v>-35335</v>
      </c>
      <c r="I20" s="202">
        <v>0</v>
      </c>
      <c r="J20" s="203">
        <v>100</v>
      </c>
      <c r="K20" s="90">
        <v>200000</v>
      </c>
      <c r="L20" s="202">
        <v>227821</v>
      </c>
      <c r="M20" s="90">
        <v>0</v>
      </c>
      <c r="N20" s="90">
        <v>0</v>
      </c>
      <c r="O20" s="90"/>
      <c r="P20" s="90">
        <v>94841</v>
      </c>
      <c r="Q20" s="90"/>
      <c r="R20" s="90">
        <v>0</v>
      </c>
      <c r="S20" s="90">
        <v>0</v>
      </c>
      <c r="T20" s="84">
        <f>SUM(O20:R20)</f>
        <v>94841</v>
      </c>
      <c r="U20" s="192">
        <f t="shared" si="2"/>
        <v>2.4021362069147312</v>
      </c>
      <c r="V20" s="192">
        <f t="shared" si="0"/>
        <v>2.4021362069147312</v>
      </c>
      <c r="W20" s="192">
        <f>'[1]2018'!U26</f>
        <v>26.492865816636307</v>
      </c>
      <c r="X20" s="192">
        <f>'[1]2018'!V26</f>
        <v>26.492865816636307</v>
      </c>
      <c r="Y20" s="87">
        <v>8.8861367127496163</v>
      </c>
      <c r="Z20" s="87">
        <v>8.8861367127496163</v>
      </c>
      <c r="AA20" s="84">
        <v>72.115567054764981</v>
      </c>
      <c r="AB20" s="84">
        <v>72.115567054764981</v>
      </c>
      <c r="AC20" s="193">
        <v>55.78</v>
      </c>
      <c r="AD20" s="193">
        <v>55.78</v>
      </c>
      <c r="AE20" s="194"/>
      <c r="AF20" s="195"/>
      <c r="AG20" s="235"/>
      <c r="AH20" s="85"/>
      <c r="AI20" s="105"/>
    </row>
    <row r="21" spans="1:35" ht="34.799999999999997" customHeight="1" x14ac:dyDescent="0.3">
      <c r="B21" s="236" t="s">
        <v>82</v>
      </c>
      <c r="C21" s="237">
        <v>97886240585</v>
      </c>
      <c r="D21" s="238" t="s">
        <v>81</v>
      </c>
      <c r="E21" s="199" t="s">
        <v>31</v>
      </c>
      <c r="F21" s="103">
        <v>727992</v>
      </c>
      <c r="G21" s="103">
        <v>50000</v>
      </c>
      <c r="H21" s="103">
        <v>-179519</v>
      </c>
      <c r="I21" s="223">
        <v>0</v>
      </c>
      <c r="J21" s="231">
        <v>100</v>
      </c>
      <c r="K21" s="90">
        <v>0</v>
      </c>
      <c r="L21" s="202">
        <v>706744</v>
      </c>
      <c r="M21" s="90">
        <v>0</v>
      </c>
      <c r="N21" s="90">
        <v>583</v>
      </c>
      <c r="O21" s="90">
        <v>0</v>
      </c>
      <c r="P21" s="103">
        <v>38956</v>
      </c>
      <c r="Q21" s="90">
        <v>0</v>
      </c>
      <c r="R21" s="90">
        <v>0</v>
      </c>
      <c r="S21" s="103">
        <v>0</v>
      </c>
      <c r="T21" s="84">
        <f>SUM(O21:R21)</f>
        <v>38956</v>
      </c>
      <c r="U21" s="192">
        <f>L21/(O21+P21)</f>
        <v>18.142109046103297</v>
      </c>
      <c r="V21" s="192">
        <f t="shared" si="0"/>
        <v>18.142109046103297</v>
      </c>
      <c r="W21" s="192">
        <f>'[1]2018'!U27</f>
        <v>55.338315467075041</v>
      </c>
      <c r="X21" s="192">
        <f>'[1]2018'!V27</f>
        <v>55.338315467075041</v>
      </c>
      <c r="Y21" s="87">
        <v>146.0135277318503</v>
      </c>
      <c r="Z21" s="87">
        <v>146.0135277318503</v>
      </c>
      <c r="AA21" s="84">
        <v>0</v>
      </c>
      <c r="AB21" s="84">
        <v>0</v>
      </c>
      <c r="AC21" s="193" t="s">
        <v>62</v>
      </c>
      <c r="AD21" s="193" t="s">
        <v>62</v>
      </c>
      <c r="AE21" s="194"/>
      <c r="AF21" s="208" t="s">
        <v>83</v>
      </c>
      <c r="AG21" s="235"/>
      <c r="AH21" s="85"/>
      <c r="AI21" s="105"/>
    </row>
    <row r="22" spans="1:35" ht="34.200000000000003" customHeight="1" x14ac:dyDescent="0.3">
      <c r="B22" s="236" t="s">
        <v>84</v>
      </c>
      <c r="C22" s="237">
        <v>97886260583</v>
      </c>
      <c r="D22" s="238" t="s">
        <v>81</v>
      </c>
      <c r="E22" s="199" t="s">
        <v>31</v>
      </c>
      <c r="F22" s="103">
        <v>73686</v>
      </c>
      <c r="G22" s="103">
        <v>50000</v>
      </c>
      <c r="H22" s="103">
        <v>1755</v>
      </c>
      <c r="I22" s="223">
        <v>0</v>
      </c>
      <c r="J22" s="231">
        <v>100</v>
      </c>
      <c r="K22" s="103">
        <v>220000</v>
      </c>
      <c r="L22" s="202">
        <v>176683</v>
      </c>
      <c r="M22" s="90">
        <v>0</v>
      </c>
      <c r="N22" s="90">
        <v>0</v>
      </c>
      <c r="O22" s="90">
        <v>0</v>
      </c>
      <c r="P22" s="103">
        <v>103974</v>
      </c>
      <c r="Q22" s="90">
        <v>0</v>
      </c>
      <c r="R22" s="90">
        <v>0</v>
      </c>
      <c r="S22" s="103">
        <v>0</v>
      </c>
      <c r="T22" s="84">
        <f>SUM(O22:R22)</f>
        <v>103974</v>
      </c>
      <c r="U22" s="192">
        <f t="shared" si="2"/>
        <v>1.699299824956239</v>
      </c>
      <c r="V22" s="192">
        <f t="shared" si="0"/>
        <v>1.699299824956239</v>
      </c>
      <c r="W22" s="192">
        <f>'[1]2018'!U28</f>
        <v>1.8910791427253282</v>
      </c>
      <c r="X22" s="192">
        <f>'[1]2018'!V28</f>
        <v>1.8910791427253282</v>
      </c>
      <c r="Y22" s="87">
        <v>2.4216405369605187</v>
      </c>
      <c r="Z22" s="87">
        <v>2.4216405369605187</v>
      </c>
      <c r="AA22" s="84">
        <v>0</v>
      </c>
      <c r="AB22" s="84">
        <v>0</v>
      </c>
      <c r="AC22" s="193" t="s">
        <v>62</v>
      </c>
      <c r="AD22" s="193" t="s">
        <v>62</v>
      </c>
      <c r="AE22" s="194"/>
      <c r="AF22" s="208" t="s">
        <v>85</v>
      </c>
      <c r="AG22" s="235"/>
      <c r="AH22" s="85"/>
      <c r="AI22" s="105"/>
    </row>
    <row r="23" spans="1:35" s="161" customFormat="1" ht="25.2" customHeight="1" x14ac:dyDescent="0.3">
      <c r="B23" s="239" t="s">
        <v>86</v>
      </c>
      <c r="C23" s="240" t="s">
        <v>87</v>
      </c>
      <c r="D23" s="238" t="s">
        <v>81</v>
      </c>
      <c r="E23" s="199" t="s">
        <v>31</v>
      </c>
      <c r="F23" s="103">
        <v>752278</v>
      </c>
      <c r="G23" s="103">
        <v>288228</v>
      </c>
      <c r="H23" s="103">
        <v>213771</v>
      </c>
      <c r="I23" s="223">
        <v>0</v>
      </c>
      <c r="J23" s="241">
        <v>0</v>
      </c>
      <c r="K23" s="242">
        <v>0</v>
      </c>
      <c r="L23" s="202">
        <v>438561</v>
      </c>
      <c r="M23" s="90">
        <v>119</v>
      </c>
      <c r="N23" s="90">
        <v>0</v>
      </c>
      <c r="O23" s="90">
        <v>0</v>
      </c>
      <c r="P23" s="103">
        <v>8879</v>
      </c>
      <c r="Q23" s="90"/>
      <c r="R23" s="90">
        <v>7178</v>
      </c>
      <c r="S23" s="103">
        <v>0</v>
      </c>
      <c r="T23" s="84">
        <f>+SUM(O23:R23)</f>
        <v>16057</v>
      </c>
      <c r="U23" s="192">
        <f t="shared" si="2"/>
        <v>49.393062281788488</v>
      </c>
      <c r="V23" s="192">
        <f t="shared" si="0"/>
        <v>27.312760789686742</v>
      </c>
      <c r="W23" s="192">
        <f>'[1]2018'!U29</f>
        <v>21.180282040131701</v>
      </c>
      <c r="X23" s="192">
        <f>'[1]2018'!V29</f>
        <v>13.881033324511939</v>
      </c>
      <c r="Y23" s="87">
        <v>35.99764972850312</v>
      </c>
      <c r="Z23" s="87">
        <v>15.424349758655415</v>
      </c>
      <c r="AA23" s="87">
        <v>0</v>
      </c>
      <c r="AB23" s="87">
        <v>0</v>
      </c>
      <c r="AC23" s="226" t="s">
        <v>62</v>
      </c>
      <c r="AD23" s="226" t="s">
        <v>62</v>
      </c>
      <c r="AE23" s="243"/>
      <c r="AF23" s="206" t="s">
        <v>88</v>
      </c>
      <c r="AG23" s="244" t="s">
        <v>41</v>
      </c>
      <c r="AH23" s="85"/>
      <c r="AI23" s="105"/>
    </row>
    <row r="24" spans="1:35" s="245" customFormat="1" ht="31.2" customHeight="1" x14ac:dyDescent="0.3">
      <c r="B24" s="246" t="s">
        <v>89</v>
      </c>
      <c r="C24" s="199">
        <v>95255950636</v>
      </c>
      <c r="D24" s="247" t="s">
        <v>81</v>
      </c>
      <c r="E24" s="199" t="s">
        <v>31</v>
      </c>
      <c r="F24" s="190">
        <v>321474</v>
      </c>
      <c r="G24" s="248">
        <v>255000</v>
      </c>
      <c r="H24" s="190">
        <v>35828</v>
      </c>
      <c r="I24" s="190">
        <v>5000</v>
      </c>
      <c r="J24" s="249">
        <v>2</v>
      </c>
      <c r="K24" s="84">
        <v>1200</v>
      </c>
      <c r="L24" s="190">
        <v>335464</v>
      </c>
      <c r="M24" s="90"/>
      <c r="N24" s="90"/>
      <c r="O24" s="90"/>
      <c r="P24" s="190">
        <v>2452</v>
      </c>
      <c r="Q24" s="90"/>
      <c r="R24" s="190"/>
      <c r="S24" s="84">
        <v>0</v>
      </c>
      <c r="T24" s="190">
        <f>+SUM(O24:R24)</f>
        <v>2452</v>
      </c>
      <c r="U24" s="250">
        <f>L24/(O24+P24)</f>
        <v>136.81239804241434</v>
      </c>
      <c r="V24" s="250">
        <f t="shared" si="0"/>
        <v>136.81239804241434</v>
      </c>
      <c r="W24" s="250">
        <v>168.74779541446208</v>
      </c>
      <c r="X24" s="250">
        <f>'[1]2018'!V30</f>
        <v>168.74779541446208</v>
      </c>
      <c r="Y24" s="251"/>
      <c r="Z24" s="251"/>
      <c r="AA24" s="251"/>
      <c r="AB24" s="251"/>
      <c r="AC24" s="252"/>
      <c r="AD24" s="252"/>
      <c r="AE24" s="253" t="s">
        <v>90</v>
      </c>
      <c r="AF24" s="254"/>
      <c r="AG24" s="255"/>
      <c r="AH24" s="72"/>
      <c r="AI24" s="73"/>
    </row>
    <row r="25" spans="1:35" s="256" customFormat="1" ht="26.4" customHeight="1" x14ac:dyDescent="0.3">
      <c r="B25" s="257" t="s">
        <v>123</v>
      </c>
      <c r="C25" s="240" t="s">
        <v>124</v>
      </c>
      <c r="D25" s="247" t="s">
        <v>81</v>
      </c>
      <c r="E25" s="199" t="s">
        <v>31</v>
      </c>
      <c r="F25" s="258">
        <v>396540.08</v>
      </c>
      <c r="G25" s="258">
        <v>410268</v>
      </c>
      <c r="H25" s="258">
        <v>-208.38</v>
      </c>
      <c r="I25" s="223">
        <v>0</v>
      </c>
      <c r="J25" s="234">
        <v>100</v>
      </c>
      <c r="K25" s="238"/>
      <c r="L25" s="259">
        <v>396540.08</v>
      </c>
      <c r="M25" s="103">
        <v>1.43</v>
      </c>
      <c r="N25" s="103">
        <v>0</v>
      </c>
      <c r="O25" s="103"/>
      <c r="P25" s="103">
        <v>209.81</v>
      </c>
      <c r="Q25" s="103"/>
      <c r="R25" s="103">
        <v>0</v>
      </c>
      <c r="S25" s="103">
        <v>0</v>
      </c>
      <c r="T25" s="190">
        <f>+SUM(O25:R25)</f>
        <v>209.81</v>
      </c>
      <c r="U25" s="260">
        <f>L25/(O25+P25)</f>
        <v>1889.9960917020162</v>
      </c>
      <c r="V25" s="260">
        <f t="shared" si="0"/>
        <v>1889.9960917020162</v>
      </c>
      <c r="W25" s="261"/>
      <c r="X25" s="261"/>
      <c r="Y25" s="262"/>
      <c r="Z25" s="262"/>
      <c r="AA25" s="262"/>
      <c r="AB25" s="262"/>
      <c r="AC25" s="262"/>
      <c r="AD25" s="262"/>
      <c r="AE25" s="263" t="s">
        <v>125</v>
      </c>
      <c r="AF25" s="264"/>
      <c r="AG25" s="264"/>
      <c r="AH25" s="34"/>
      <c r="AI25" s="60"/>
    </row>
    <row r="26" spans="1:35" s="256" customFormat="1" ht="28.5" customHeight="1" x14ac:dyDescent="0.3">
      <c r="A26" s="104"/>
      <c r="B26" s="265" t="s">
        <v>126</v>
      </c>
      <c r="C26" s="199">
        <v>38860311008</v>
      </c>
      <c r="D26" s="188" t="s">
        <v>71</v>
      </c>
      <c r="E26" s="199" t="s">
        <v>31</v>
      </c>
      <c r="F26" s="266">
        <v>904698</v>
      </c>
      <c r="G26" s="266">
        <v>490598</v>
      </c>
      <c r="H26" s="266">
        <v>2151</v>
      </c>
      <c r="I26" s="267">
        <v>10000</v>
      </c>
      <c r="J26" s="268">
        <v>2</v>
      </c>
      <c r="K26" s="269"/>
      <c r="L26" s="270">
        <v>6637063</v>
      </c>
      <c r="M26" s="266">
        <v>27150</v>
      </c>
      <c r="N26" s="266">
        <v>3243483</v>
      </c>
      <c r="O26" s="90">
        <v>0</v>
      </c>
      <c r="P26" s="266">
        <v>345977</v>
      </c>
      <c r="Q26" s="90">
        <v>0</v>
      </c>
      <c r="R26" s="266">
        <v>83160</v>
      </c>
      <c r="S26" s="266">
        <v>5540221</v>
      </c>
      <c r="T26" s="269">
        <f>SUM(O26:R26)</f>
        <v>429137</v>
      </c>
      <c r="U26" s="260">
        <f>L26/(O26+P26)</f>
        <v>19.183538212077682</v>
      </c>
      <c r="V26" s="260">
        <f t="shared" si="0"/>
        <v>15.466070275925869</v>
      </c>
      <c r="W26" s="261"/>
      <c r="X26" s="261"/>
      <c r="Y26" s="262"/>
      <c r="Z26" s="262"/>
      <c r="AA26" s="262"/>
      <c r="AB26" s="262"/>
      <c r="AC26" s="262"/>
      <c r="AD26" s="262"/>
      <c r="AE26" s="194" t="s">
        <v>127</v>
      </c>
      <c r="AF26" s="163"/>
      <c r="AG26" s="163"/>
      <c r="AH26" s="34"/>
      <c r="AI26" s="60"/>
    </row>
    <row r="27" spans="1:35" s="256" customFormat="1" ht="28.5" customHeight="1" x14ac:dyDescent="0.3">
      <c r="A27" s="104"/>
      <c r="B27" s="265" t="s">
        <v>128</v>
      </c>
      <c r="C27" s="199">
        <v>1951400504</v>
      </c>
      <c r="D27" s="188" t="s">
        <v>71</v>
      </c>
      <c r="E27" s="199" t="s">
        <v>31</v>
      </c>
      <c r="F27" s="266">
        <v>1198712</v>
      </c>
      <c r="G27" s="266">
        <v>330000</v>
      </c>
      <c r="H27" s="266">
        <v>230894</v>
      </c>
      <c r="I27" s="267">
        <v>5000</v>
      </c>
      <c r="J27" s="268">
        <v>1.52</v>
      </c>
      <c r="K27" s="269"/>
      <c r="L27" s="270">
        <v>2599727</v>
      </c>
      <c r="M27" s="266">
        <v>0</v>
      </c>
      <c r="N27" s="266">
        <v>23154</v>
      </c>
      <c r="O27" s="90">
        <v>0</v>
      </c>
      <c r="P27" s="266">
        <f>1514812+45</f>
        <v>1514857</v>
      </c>
      <c r="Q27" s="90">
        <v>0</v>
      </c>
      <c r="R27" s="266">
        <v>159362</v>
      </c>
      <c r="S27" s="266"/>
      <c r="T27" s="269">
        <f>SUM(O27:R27)</f>
        <v>1674219</v>
      </c>
      <c r="U27" s="260">
        <f>L27/(O27+P27)</f>
        <v>1.7161534058990386</v>
      </c>
      <c r="V27" s="260">
        <f t="shared" si="0"/>
        <v>1.5527998427923706</v>
      </c>
      <c r="W27" s="261"/>
      <c r="X27" s="261"/>
      <c r="Y27" s="262"/>
      <c r="Z27" s="262"/>
      <c r="AA27" s="262"/>
      <c r="AB27" s="262"/>
      <c r="AC27" s="262"/>
      <c r="AD27" s="262"/>
      <c r="AE27" s="194" t="s">
        <v>129</v>
      </c>
      <c r="AF27" s="163"/>
      <c r="AG27" s="163"/>
      <c r="AH27" s="197" t="s">
        <v>130</v>
      </c>
      <c r="AI27" s="60"/>
    </row>
    <row r="28" spans="1:35" s="256" customFormat="1" ht="28.5" customHeight="1" x14ac:dyDescent="0.3">
      <c r="A28" s="104"/>
      <c r="B28" s="257" t="s">
        <v>131</v>
      </c>
      <c r="C28" s="199">
        <v>15281901007</v>
      </c>
      <c r="D28" s="188" t="s">
        <v>71</v>
      </c>
      <c r="E28" s="199" t="s">
        <v>31</v>
      </c>
      <c r="F28" s="271">
        <v>70959</v>
      </c>
      <c r="G28" s="271">
        <v>75000</v>
      </c>
      <c r="H28" s="271">
        <v>-4041</v>
      </c>
      <c r="I28" s="223">
        <v>5000</v>
      </c>
      <c r="J28" s="231">
        <v>6.67</v>
      </c>
      <c r="K28" s="103">
        <v>0</v>
      </c>
      <c r="L28" s="270">
        <v>63811</v>
      </c>
      <c r="M28" s="90">
        <v>0</v>
      </c>
      <c r="N28" s="272">
        <v>73</v>
      </c>
      <c r="O28" s="90">
        <v>0</v>
      </c>
      <c r="P28" s="90">
        <v>2877</v>
      </c>
      <c r="Q28" s="90">
        <v>0</v>
      </c>
      <c r="R28" s="90">
        <v>159362</v>
      </c>
      <c r="S28" s="266">
        <v>0</v>
      </c>
      <c r="T28" s="273">
        <f>SUM(O28:R28)</f>
        <v>162239</v>
      </c>
      <c r="U28" s="260">
        <f>L28/(O28+P28)</f>
        <v>22.179701077511297</v>
      </c>
      <c r="V28" s="260">
        <f t="shared" si="0"/>
        <v>0.39331480100345784</v>
      </c>
      <c r="W28" s="261"/>
      <c r="X28" s="261"/>
      <c r="Y28" s="262"/>
      <c r="Z28" s="262"/>
      <c r="AA28" s="262"/>
      <c r="AB28" s="262"/>
      <c r="AC28" s="262"/>
      <c r="AD28" s="262"/>
      <c r="AE28" s="194" t="s">
        <v>132</v>
      </c>
      <c r="AF28" s="163"/>
      <c r="AG28" s="163"/>
      <c r="AH28" s="6"/>
      <c r="AI28" s="7"/>
    </row>
  </sheetData>
  <pageMargins left="0.11811023622047245" right="0.11811023622047245" top="0.35433070866141736" bottom="0.35433070866141736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0D8D-CB66-4353-8324-0CF49A89B2BA}">
  <dimension ref="A1:AZ43"/>
  <sheetViews>
    <sheetView tabSelected="1" topLeftCell="B7" workbookViewId="0">
      <selection activeCell="K14" sqref="K14"/>
    </sheetView>
  </sheetViews>
  <sheetFormatPr defaultColWidth="9.109375" defaultRowHeight="13.8" x14ac:dyDescent="0.3"/>
  <cols>
    <col min="1" max="1" width="3.109375" style="277" hidden="1" customWidth="1"/>
    <col min="2" max="2" width="36.21875" style="284" customWidth="1"/>
    <col min="3" max="3" width="11.44140625" style="279" customWidth="1"/>
    <col min="4" max="4" width="13.5546875" style="277" customWidth="1"/>
    <col min="5" max="5" width="9.6640625" style="279" customWidth="1"/>
    <col min="6" max="6" width="12.5546875" style="277" bestFit="1" customWidth="1"/>
    <col min="7" max="7" width="13.109375" style="277" customWidth="1"/>
    <col min="8" max="8" width="16.109375" style="277" customWidth="1"/>
    <col min="9" max="9" width="11.21875" style="277" bestFit="1" customWidth="1"/>
    <col min="10" max="10" width="8.6640625" style="280" customWidth="1"/>
    <col min="11" max="11" width="29" style="280" bestFit="1" customWidth="1"/>
    <col min="12" max="12" width="10.5546875" style="279" customWidth="1"/>
    <col min="13" max="13" width="48.77734375" style="361" customWidth="1"/>
    <col min="14" max="14" width="27.88671875" style="232" customWidth="1"/>
    <col min="15" max="15" width="27.33203125" style="232" customWidth="1"/>
    <col min="16" max="16384" width="9.109375" style="277"/>
  </cols>
  <sheetData>
    <row r="1" spans="1:52" ht="18" x14ac:dyDescent="0.3">
      <c r="B1" s="155" t="s">
        <v>0</v>
      </c>
      <c r="C1" s="156"/>
      <c r="D1" s="157"/>
      <c r="E1" s="156"/>
    </row>
    <row r="2" spans="1:52" s="281" customFormat="1" ht="16.8" x14ac:dyDescent="0.3">
      <c r="B2" s="356" t="s">
        <v>133</v>
      </c>
      <c r="C2" s="357"/>
      <c r="D2" s="358" t="s">
        <v>134</v>
      </c>
      <c r="E2" s="359"/>
      <c r="F2" s="335"/>
      <c r="H2" s="360"/>
      <c r="J2" s="338"/>
      <c r="K2" s="338"/>
      <c r="L2" s="336"/>
      <c r="M2" s="362"/>
      <c r="N2" s="311"/>
      <c r="O2" s="311"/>
    </row>
    <row r="3" spans="1:52" x14ac:dyDescent="0.3">
      <c r="B3" s="164"/>
      <c r="C3" s="165"/>
      <c r="D3" s="166"/>
      <c r="E3" s="165"/>
    </row>
    <row r="4" spans="1:52" x14ac:dyDescent="0.3">
      <c r="B4" s="167" t="s">
        <v>135</v>
      </c>
      <c r="C4" s="168"/>
      <c r="D4" s="169"/>
      <c r="E4" s="168"/>
    </row>
    <row r="5" spans="1:52" x14ac:dyDescent="0.3">
      <c r="A5" s="166"/>
      <c r="B5" s="164"/>
      <c r="C5" s="165"/>
      <c r="D5" s="166"/>
      <c r="E5" s="165"/>
    </row>
    <row r="6" spans="1:52" s="284" customFormat="1" ht="79.2" x14ac:dyDescent="0.3">
      <c r="A6" s="16" t="s">
        <v>4</v>
      </c>
      <c r="B6" s="178" t="s">
        <v>5</v>
      </c>
      <c r="C6" s="17" t="s">
        <v>6</v>
      </c>
      <c r="D6" s="17" t="s">
        <v>7</v>
      </c>
      <c r="E6" s="17" t="s">
        <v>8</v>
      </c>
      <c r="F6" s="15" t="s">
        <v>136</v>
      </c>
      <c r="G6" s="15" t="s">
        <v>137</v>
      </c>
      <c r="H6" s="17" t="s">
        <v>138</v>
      </c>
      <c r="I6" s="15" t="s">
        <v>12</v>
      </c>
      <c r="J6" s="17" t="s">
        <v>13</v>
      </c>
      <c r="K6" s="17" t="s">
        <v>169</v>
      </c>
      <c r="L6" s="18" t="s">
        <v>14</v>
      </c>
      <c r="M6" s="363" t="s">
        <v>149</v>
      </c>
      <c r="N6" s="283"/>
      <c r="O6" s="283"/>
    </row>
    <row r="7" spans="1:52" s="281" customFormat="1" ht="26.4" x14ac:dyDescent="0.3">
      <c r="A7" s="221">
        <v>3</v>
      </c>
      <c r="B7" s="285" t="s">
        <v>32</v>
      </c>
      <c r="C7" s="286" t="s">
        <v>33</v>
      </c>
      <c r="D7" s="287" t="s">
        <v>34</v>
      </c>
      <c r="E7" s="288" t="s">
        <v>31</v>
      </c>
      <c r="F7" s="289">
        <f>116258299</f>
        <v>116258299</v>
      </c>
      <c r="G7" s="289">
        <f>2804226</f>
        <v>2804226</v>
      </c>
      <c r="H7" s="289">
        <f>13894601</f>
        <v>13894601</v>
      </c>
      <c r="I7" s="289">
        <f>'[3]2019'!I8</f>
        <v>40516.46</v>
      </c>
      <c r="J7" s="290">
        <v>1.7</v>
      </c>
      <c r="K7" s="369" t="s">
        <v>171</v>
      </c>
      <c r="L7" s="291"/>
      <c r="M7" s="364" t="s">
        <v>152</v>
      </c>
      <c r="O7" s="293"/>
    </row>
    <row r="8" spans="1:52" s="281" customFormat="1" ht="26.4" x14ac:dyDescent="0.3">
      <c r="A8" s="221">
        <v>4</v>
      </c>
      <c r="B8" s="285" t="s">
        <v>37</v>
      </c>
      <c r="C8" s="294" t="s">
        <v>38</v>
      </c>
      <c r="D8" s="287" t="s">
        <v>34</v>
      </c>
      <c r="E8" s="295" t="s">
        <v>31</v>
      </c>
      <c r="F8" s="289">
        <f>2874757</f>
        <v>2874757</v>
      </c>
      <c r="G8" s="289">
        <v>236033</v>
      </c>
      <c r="H8" s="289">
        <f>477592</f>
        <v>477592</v>
      </c>
      <c r="I8" s="289">
        <f>'[3]2019'!I9</f>
        <v>3098</v>
      </c>
      <c r="J8" s="290">
        <f t="shared" ref="J8" si="0">I8*100/G8</f>
        <v>1.3125283329026025</v>
      </c>
      <c r="K8" s="290" t="s">
        <v>170</v>
      </c>
      <c r="L8" s="291"/>
      <c r="M8" s="364" t="s">
        <v>151</v>
      </c>
      <c r="N8" s="292"/>
      <c r="O8" s="293"/>
    </row>
    <row r="9" spans="1:52" s="281" customFormat="1" ht="39.6" x14ac:dyDescent="0.3">
      <c r="A9" s="221">
        <v>6</v>
      </c>
      <c r="B9" s="296" t="s">
        <v>44</v>
      </c>
      <c r="C9" s="294">
        <v>92067000346</v>
      </c>
      <c r="D9" s="287" t="s">
        <v>34</v>
      </c>
      <c r="E9" s="295" t="s">
        <v>43</v>
      </c>
      <c r="F9" s="297">
        <v>14302866.140000001</v>
      </c>
      <c r="G9" s="298">
        <v>191089.12</v>
      </c>
      <c r="H9" s="298">
        <f>57031.12+25372</f>
        <v>82403.12</v>
      </c>
      <c r="I9" s="298">
        <v>5164.57</v>
      </c>
      <c r="J9" s="290">
        <v>2.7</v>
      </c>
      <c r="K9" s="290" t="s">
        <v>172</v>
      </c>
      <c r="L9" s="291">
        <v>0</v>
      </c>
      <c r="M9" s="364" t="s">
        <v>153</v>
      </c>
      <c r="O9" s="232"/>
    </row>
    <row r="10" spans="1:52" s="281" customFormat="1" ht="26.4" x14ac:dyDescent="0.3">
      <c r="A10" s="221">
        <v>9</v>
      </c>
      <c r="B10" s="296" t="s">
        <v>47</v>
      </c>
      <c r="C10" s="294" t="s">
        <v>48</v>
      </c>
      <c r="D10" s="287" t="s">
        <v>34</v>
      </c>
      <c r="E10" s="295" t="s">
        <v>31</v>
      </c>
      <c r="F10" s="298">
        <f>736694.26</f>
        <v>736694.26</v>
      </c>
      <c r="G10" s="298">
        <f>374519.95</f>
        <v>374519.95</v>
      </c>
      <c r="H10" s="299">
        <f>6989.19</f>
        <v>6989.19</v>
      </c>
      <c r="I10" s="298">
        <f>50428.48</f>
        <v>50428.480000000003</v>
      </c>
      <c r="J10" s="290">
        <v>6.85</v>
      </c>
      <c r="K10" s="369" t="s">
        <v>173</v>
      </c>
      <c r="L10" s="300">
        <v>5000</v>
      </c>
      <c r="M10" s="364" t="s">
        <v>155</v>
      </c>
      <c r="N10" s="292"/>
      <c r="O10" s="232"/>
    </row>
    <row r="11" spans="1:52" s="281" customFormat="1" ht="26.4" x14ac:dyDescent="0.3">
      <c r="A11" s="221">
        <v>10</v>
      </c>
      <c r="B11" s="296" t="s">
        <v>50</v>
      </c>
      <c r="C11" s="294" t="s">
        <v>51</v>
      </c>
      <c r="D11" s="287" t="s">
        <v>34</v>
      </c>
      <c r="E11" s="295" t="s">
        <v>31</v>
      </c>
      <c r="F11" s="298">
        <v>477569</v>
      </c>
      <c r="G11" s="298">
        <f>134270</f>
        <v>134270</v>
      </c>
      <c r="H11" s="298">
        <v>2774</v>
      </c>
      <c r="I11" s="298">
        <f>'[3]2019'!I14</f>
        <v>5165</v>
      </c>
      <c r="J11" s="290">
        <v>4.17</v>
      </c>
      <c r="K11" s="370">
        <v>45716</v>
      </c>
      <c r="L11" s="300"/>
      <c r="M11" s="364" t="s">
        <v>156</v>
      </c>
      <c r="O11" s="232"/>
    </row>
    <row r="12" spans="1:52" s="281" customFormat="1" ht="39.6" x14ac:dyDescent="0.3">
      <c r="A12" s="221">
        <v>11</v>
      </c>
      <c r="B12" s="296" t="s">
        <v>53</v>
      </c>
      <c r="C12" s="294">
        <v>94040540489</v>
      </c>
      <c r="D12" s="287" t="s">
        <v>34</v>
      </c>
      <c r="E12" s="295" t="s">
        <v>31</v>
      </c>
      <c r="F12" s="298">
        <v>10597081</v>
      </c>
      <c r="G12" s="298">
        <v>362352.91</v>
      </c>
      <c r="H12" s="298">
        <f>58015.716</f>
        <v>58015.716</v>
      </c>
      <c r="I12" s="298">
        <f>(F12+G12)*1/50</f>
        <v>219188.67819999999</v>
      </c>
      <c r="J12" s="301">
        <v>2</v>
      </c>
      <c r="K12" s="371" t="s">
        <v>174</v>
      </c>
      <c r="L12" s="300">
        <v>0</v>
      </c>
      <c r="M12" s="364" t="s">
        <v>157</v>
      </c>
      <c r="N12" s="292"/>
      <c r="O12" s="232"/>
    </row>
    <row r="13" spans="1:52" s="281" customFormat="1" ht="39.6" x14ac:dyDescent="0.3">
      <c r="A13" s="205">
        <v>12</v>
      </c>
      <c r="B13" s="296" t="s">
        <v>55</v>
      </c>
      <c r="C13" s="294" t="s">
        <v>56</v>
      </c>
      <c r="D13" s="287" t="s">
        <v>34</v>
      </c>
      <c r="E13" s="295" t="s">
        <v>31</v>
      </c>
      <c r="F13" s="298">
        <f>161156</f>
        <v>161156</v>
      </c>
      <c r="G13" s="302">
        <v>123950</v>
      </c>
      <c r="H13" s="298">
        <f>148</f>
        <v>148</v>
      </c>
      <c r="I13" s="302">
        <f>'[3]2019'!I16</f>
        <v>5164.57</v>
      </c>
      <c r="J13" s="301">
        <v>5.26</v>
      </c>
      <c r="K13" s="372">
        <v>49309</v>
      </c>
      <c r="L13" s="300">
        <v>0</v>
      </c>
      <c r="M13" s="364" t="s">
        <v>159</v>
      </c>
      <c r="O13" s="232"/>
    </row>
    <row r="14" spans="1:52" ht="39.6" x14ac:dyDescent="0.3">
      <c r="A14" s="166">
        <v>13</v>
      </c>
      <c r="B14" s="303" t="s">
        <v>58</v>
      </c>
      <c r="C14" s="304" t="s">
        <v>59</v>
      </c>
      <c r="D14" s="287" t="s">
        <v>34</v>
      </c>
      <c r="E14" s="295" t="s">
        <v>31</v>
      </c>
      <c r="F14" s="298">
        <v>22422</v>
      </c>
      <c r="G14" s="298">
        <v>0</v>
      </c>
      <c r="H14" s="298">
        <v>238</v>
      </c>
      <c r="I14" s="298">
        <v>4975.29</v>
      </c>
      <c r="J14" s="290">
        <v>14.28</v>
      </c>
      <c r="K14" s="369">
        <v>46845</v>
      </c>
      <c r="L14" s="300">
        <v>0</v>
      </c>
      <c r="M14" s="364" t="s">
        <v>150</v>
      </c>
      <c r="O14" s="293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</row>
    <row r="15" spans="1:52" s="281" customFormat="1" ht="26.4" x14ac:dyDescent="0.3">
      <c r="A15" s="221">
        <v>16</v>
      </c>
      <c r="B15" s="296" t="s">
        <v>65</v>
      </c>
      <c r="C15" s="294" t="s">
        <v>66</v>
      </c>
      <c r="D15" s="305" t="s">
        <v>67</v>
      </c>
      <c r="E15" s="295" t="s">
        <v>31</v>
      </c>
      <c r="F15" s="306">
        <f>523624</f>
        <v>523624</v>
      </c>
      <c r="G15" s="306">
        <f>405850</f>
        <v>405850</v>
      </c>
      <c r="H15" s="306">
        <f>27001</f>
        <v>27001</v>
      </c>
      <c r="I15" s="298">
        <v>11325.62</v>
      </c>
      <c r="J15" s="290">
        <v>2.79</v>
      </c>
      <c r="K15" s="290" t="s">
        <v>175</v>
      </c>
      <c r="L15" s="300"/>
      <c r="M15" s="365" t="s">
        <v>154</v>
      </c>
      <c r="O15" s="293"/>
    </row>
    <row r="16" spans="1:52" s="281" customFormat="1" ht="26.4" x14ac:dyDescent="0.3">
      <c r="A16" s="221">
        <v>18</v>
      </c>
      <c r="B16" s="296" t="s">
        <v>69</v>
      </c>
      <c r="C16" s="294" t="s">
        <v>70</v>
      </c>
      <c r="D16" s="287" t="s">
        <v>71</v>
      </c>
      <c r="E16" s="295" t="s">
        <v>31</v>
      </c>
      <c r="F16" s="307">
        <v>22500</v>
      </c>
      <c r="G16" s="298">
        <v>22500</v>
      </c>
      <c r="H16" s="302">
        <v>0</v>
      </c>
      <c r="I16" s="298">
        <v>4500</v>
      </c>
      <c r="J16" s="308">
        <f>I16*100/G16</f>
        <v>20</v>
      </c>
      <c r="K16" s="375">
        <v>46022</v>
      </c>
      <c r="L16" s="300">
        <v>0</v>
      </c>
      <c r="M16" s="364" t="s">
        <v>158</v>
      </c>
      <c r="O16" s="232"/>
    </row>
    <row r="17" spans="1:52" s="311" customFormat="1" ht="26.4" x14ac:dyDescent="0.3">
      <c r="A17" s="221">
        <v>19</v>
      </c>
      <c r="B17" s="296" t="s">
        <v>72</v>
      </c>
      <c r="C17" s="294" t="s">
        <v>73</v>
      </c>
      <c r="D17" s="287" t="s">
        <v>71</v>
      </c>
      <c r="E17" s="295" t="s">
        <v>31</v>
      </c>
      <c r="F17" s="309">
        <f>260909</f>
        <v>260909</v>
      </c>
      <c r="G17" s="309">
        <f>258228</f>
        <v>258228</v>
      </c>
      <c r="H17" s="309">
        <f>20811</f>
        <v>20811</v>
      </c>
      <c r="I17" s="309">
        <f>G17*20%</f>
        <v>51645.600000000006</v>
      </c>
      <c r="J17" s="306">
        <f>I17*100/G17</f>
        <v>20.000000000000004</v>
      </c>
      <c r="K17" s="374">
        <v>47848</v>
      </c>
      <c r="L17" s="310" t="s">
        <v>119</v>
      </c>
      <c r="M17" s="364" t="s">
        <v>160</v>
      </c>
      <c r="O17" s="293"/>
    </row>
    <row r="18" spans="1:52" s="281" customFormat="1" ht="39.6" x14ac:dyDescent="0.3">
      <c r="A18" s="221">
        <v>21</v>
      </c>
      <c r="B18" s="296" t="s">
        <v>75</v>
      </c>
      <c r="C18" s="294">
        <v>4264541006</v>
      </c>
      <c r="D18" s="287" t="s">
        <v>71</v>
      </c>
      <c r="E18" s="295" t="s">
        <v>31</v>
      </c>
      <c r="F18" s="298">
        <f>39968</f>
        <v>39968</v>
      </c>
      <c r="G18" s="298">
        <f>10329</f>
        <v>10329</v>
      </c>
      <c r="H18" s="298">
        <f>359</f>
        <v>359</v>
      </c>
      <c r="I18" s="298">
        <f>'[3]2019'!I23</f>
        <v>5164.57</v>
      </c>
      <c r="J18" s="290">
        <v>16.670000000000002</v>
      </c>
      <c r="K18" s="370">
        <v>46387</v>
      </c>
      <c r="L18" s="300"/>
      <c r="M18" s="366" t="s">
        <v>161</v>
      </c>
      <c r="O18" s="293"/>
    </row>
    <row r="19" spans="1:52" s="281" customFormat="1" ht="21.6" customHeight="1" x14ac:dyDescent="0.3">
      <c r="A19" s="221"/>
      <c r="B19" s="285" t="s">
        <v>78</v>
      </c>
      <c r="C19" s="312">
        <v>12963691006</v>
      </c>
      <c r="D19" s="305" t="s">
        <v>71</v>
      </c>
      <c r="E19" s="295" t="s">
        <v>31</v>
      </c>
      <c r="F19" s="309">
        <f>73094</f>
        <v>73094</v>
      </c>
      <c r="G19" s="309">
        <f>19500</f>
        <v>19500</v>
      </c>
      <c r="H19" s="309">
        <f>-20501</f>
        <v>-20501</v>
      </c>
      <c r="I19" s="309">
        <f>1300</f>
        <v>1300</v>
      </c>
      <c r="J19" s="313">
        <f t="shared" ref="J19:J28" si="1">I19*100/G19</f>
        <v>6.666666666666667</v>
      </c>
      <c r="K19" s="376">
        <v>49132</v>
      </c>
      <c r="L19" s="310">
        <v>0</v>
      </c>
      <c r="M19" s="366" t="s">
        <v>162</v>
      </c>
      <c r="O19" s="232"/>
    </row>
    <row r="20" spans="1:52" s="281" customFormat="1" ht="26.4" x14ac:dyDescent="0.3">
      <c r="A20" s="221">
        <v>22</v>
      </c>
      <c r="B20" s="285" t="s">
        <v>80</v>
      </c>
      <c r="C20" s="312">
        <v>10211141006</v>
      </c>
      <c r="D20" s="305" t="s">
        <v>81</v>
      </c>
      <c r="E20" s="295" t="s">
        <v>31</v>
      </c>
      <c r="F20" s="298">
        <f>3571387</f>
        <v>3571387</v>
      </c>
      <c r="G20" s="298">
        <f>3432555</f>
        <v>3432555</v>
      </c>
      <c r="H20" s="298">
        <f>-4188</f>
        <v>-4188</v>
      </c>
      <c r="I20" s="298">
        <f>3432555</f>
        <v>3432555</v>
      </c>
      <c r="J20" s="314">
        <f t="shared" si="1"/>
        <v>100</v>
      </c>
      <c r="K20" s="373" t="s">
        <v>176</v>
      </c>
      <c r="L20" s="300">
        <v>200000</v>
      </c>
      <c r="M20" s="367" t="s">
        <v>168</v>
      </c>
      <c r="O20" s="232"/>
    </row>
    <row r="21" spans="1:52" s="281" customFormat="1" ht="26.4" x14ac:dyDescent="0.3">
      <c r="B21" s="316" t="s">
        <v>82</v>
      </c>
      <c r="C21" s="317">
        <v>97886240585</v>
      </c>
      <c r="D21" s="318" t="s">
        <v>81</v>
      </c>
      <c r="E21" s="295" t="s">
        <v>31</v>
      </c>
      <c r="F21" s="309">
        <f>117127</f>
        <v>117127</v>
      </c>
      <c r="G21" s="309">
        <f>50000</f>
        <v>50000</v>
      </c>
      <c r="H21" s="309">
        <f>-610865</f>
        <v>-610865</v>
      </c>
      <c r="I21" s="309">
        <f>50000</f>
        <v>50000</v>
      </c>
      <c r="J21" s="306">
        <f t="shared" si="1"/>
        <v>100</v>
      </c>
      <c r="K21" s="373" t="s">
        <v>176</v>
      </c>
      <c r="L21" s="300"/>
      <c r="M21" s="367" t="s">
        <v>168</v>
      </c>
      <c r="N21" s="315"/>
      <c r="O21" s="232"/>
    </row>
    <row r="22" spans="1:52" s="281" customFormat="1" ht="26.4" x14ac:dyDescent="0.3">
      <c r="B22" s="316" t="s">
        <v>84</v>
      </c>
      <c r="C22" s="317">
        <v>97886260583</v>
      </c>
      <c r="D22" s="318" t="s">
        <v>81</v>
      </c>
      <c r="E22" s="295" t="s">
        <v>31</v>
      </c>
      <c r="F22" s="309">
        <f>130605</f>
        <v>130605</v>
      </c>
      <c r="G22" s="309">
        <f>50000</f>
        <v>50000</v>
      </c>
      <c r="H22" s="309">
        <f>56919</f>
        <v>56919</v>
      </c>
      <c r="I22" s="309">
        <f>50000</f>
        <v>50000</v>
      </c>
      <c r="J22" s="306">
        <f t="shared" si="1"/>
        <v>100</v>
      </c>
      <c r="K22" s="373" t="s">
        <v>176</v>
      </c>
      <c r="L22" s="310">
        <f>154000</f>
        <v>154000</v>
      </c>
      <c r="M22" s="367" t="s">
        <v>168</v>
      </c>
      <c r="N22" s="315"/>
      <c r="O22" s="232"/>
    </row>
    <row r="23" spans="1:52" s="281" customFormat="1" ht="26.4" x14ac:dyDescent="0.3">
      <c r="B23" s="319" t="s">
        <v>86</v>
      </c>
      <c r="C23" s="320" t="s">
        <v>87</v>
      </c>
      <c r="D23" s="318" t="s">
        <v>81</v>
      </c>
      <c r="E23" s="295" t="s">
        <v>31</v>
      </c>
      <c r="F23" s="309">
        <v>1018427</v>
      </c>
      <c r="G23" s="309">
        <v>288228</v>
      </c>
      <c r="H23" s="309">
        <v>282208</v>
      </c>
      <c r="I23" s="309"/>
      <c r="J23" s="306">
        <f t="shared" si="1"/>
        <v>0</v>
      </c>
      <c r="K23" s="373" t="s">
        <v>176</v>
      </c>
      <c r="L23" s="321">
        <v>0</v>
      </c>
      <c r="M23" s="367" t="s">
        <v>166</v>
      </c>
      <c r="O23" s="232"/>
    </row>
    <row r="24" spans="1:52" s="169" customFormat="1" ht="27.6" x14ac:dyDescent="0.3">
      <c r="B24" s="246" t="s">
        <v>89</v>
      </c>
      <c r="C24" s="199">
        <v>95255950636</v>
      </c>
      <c r="D24" s="247" t="s">
        <v>81</v>
      </c>
      <c r="E24" s="199" t="s">
        <v>31</v>
      </c>
      <c r="F24" s="322">
        <f>604559</f>
        <v>604559</v>
      </c>
      <c r="G24" s="323">
        <f>260000</f>
        <v>260000</v>
      </c>
      <c r="H24" s="322">
        <f>115627</f>
        <v>115627</v>
      </c>
      <c r="I24" s="324">
        <f>5000</f>
        <v>5000</v>
      </c>
      <c r="J24" s="325">
        <f t="shared" si="1"/>
        <v>1.9230769230769231</v>
      </c>
      <c r="K24" s="373" t="s">
        <v>176</v>
      </c>
      <c r="L24" s="326"/>
      <c r="M24" s="367" t="s">
        <v>167</v>
      </c>
      <c r="O24" s="327"/>
    </row>
    <row r="25" spans="1:52" s="276" customFormat="1" ht="26.4" x14ac:dyDescent="0.3">
      <c r="A25" s="281"/>
      <c r="B25" s="328" t="s">
        <v>139</v>
      </c>
      <c r="C25" s="317">
        <v>96417390588</v>
      </c>
      <c r="D25" s="329" t="s">
        <v>81</v>
      </c>
      <c r="E25" s="295" t="s">
        <v>31</v>
      </c>
      <c r="F25" s="330">
        <f>396221</f>
        <v>396221</v>
      </c>
      <c r="G25" s="330">
        <f>410268</f>
        <v>410268</v>
      </c>
      <c r="H25" s="330">
        <f>-319</f>
        <v>-319</v>
      </c>
      <c r="I25" s="331">
        <f>G25</f>
        <v>410268</v>
      </c>
      <c r="J25" s="313">
        <f t="shared" si="1"/>
        <v>100</v>
      </c>
      <c r="K25" s="373" t="s">
        <v>176</v>
      </c>
      <c r="L25" s="332"/>
      <c r="M25" s="368"/>
      <c r="O25" s="232"/>
    </row>
    <row r="26" spans="1:52" s="276" customFormat="1" ht="19.2" customHeight="1" x14ac:dyDescent="0.3">
      <c r="A26" s="281"/>
      <c r="B26" s="328" t="s">
        <v>147</v>
      </c>
      <c r="C26" s="295">
        <v>38860311008</v>
      </c>
      <c r="D26" s="287" t="s">
        <v>71</v>
      </c>
      <c r="E26" s="295" t="s">
        <v>31</v>
      </c>
      <c r="F26" s="330">
        <f>901542</f>
        <v>901542</v>
      </c>
      <c r="G26" s="330">
        <v>490598</v>
      </c>
      <c r="H26" s="330">
        <f>3379</f>
        <v>3379</v>
      </c>
      <c r="I26" s="331">
        <v>10000</v>
      </c>
      <c r="J26" s="313">
        <v>2</v>
      </c>
      <c r="K26" s="376">
        <v>48579</v>
      </c>
      <c r="L26" s="331"/>
      <c r="M26" s="366" t="s">
        <v>163</v>
      </c>
      <c r="O26" s="232"/>
    </row>
    <row r="27" spans="1:52" s="276" customFormat="1" ht="25.8" customHeight="1" x14ac:dyDescent="0.3">
      <c r="A27" s="281"/>
      <c r="B27" s="328" t="s">
        <v>148</v>
      </c>
      <c r="C27" s="295">
        <v>15281901007</v>
      </c>
      <c r="D27" s="287" t="s">
        <v>71</v>
      </c>
      <c r="E27" s="295" t="s">
        <v>31</v>
      </c>
      <c r="F27" s="330">
        <f>64492</f>
        <v>64492</v>
      </c>
      <c r="G27" s="330">
        <f>75000</f>
        <v>75000</v>
      </c>
      <c r="H27" s="330">
        <f>-6466</f>
        <v>-6466</v>
      </c>
      <c r="I27" s="331">
        <f>5000</f>
        <v>5000</v>
      </c>
      <c r="J27" s="313">
        <v>1.52</v>
      </c>
      <c r="K27" s="376" t="s">
        <v>177</v>
      </c>
      <c r="L27" s="331"/>
      <c r="M27" s="364" t="s">
        <v>165</v>
      </c>
      <c r="N27" s="292"/>
      <c r="O27" s="232"/>
    </row>
    <row r="28" spans="1:52" s="276" customFormat="1" ht="27.6" x14ac:dyDescent="0.3">
      <c r="A28" s="281"/>
      <c r="B28" s="333" t="s">
        <v>140</v>
      </c>
      <c r="C28" s="334">
        <v>1951400504</v>
      </c>
      <c r="D28" s="287" t="s">
        <v>71</v>
      </c>
      <c r="E28" s="295" t="s">
        <v>31</v>
      </c>
      <c r="F28" s="330">
        <v>1763519</v>
      </c>
      <c r="G28" s="330">
        <v>345000</v>
      </c>
      <c r="H28" s="330">
        <v>549808</v>
      </c>
      <c r="I28" s="331">
        <v>5000</v>
      </c>
      <c r="J28" s="313">
        <f t="shared" si="1"/>
        <v>1.4492753623188406</v>
      </c>
      <c r="K28" s="313" t="s">
        <v>178</v>
      </c>
      <c r="L28" s="331"/>
      <c r="M28" s="366" t="s">
        <v>164</v>
      </c>
      <c r="N28" s="292"/>
      <c r="O28" s="256"/>
    </row>
    <row r="29" spans="1:52" x14ac:dyDescent="0.3">
      <c r="B29" s="335"/>
      <c r="C29" s="336"/>
      <c r="D29" s="281"/>
      <c r="E29" s="337"/>
      <c r="F29" s="281"/>
      <c r="G29" s="281"/>
      <c r="H29" s="281"/>
      <c r="I29" s="281"/>
      <c r="J29" s="338"/>
      <c r="K29" s="338"/>
      <c r="L29" s="336"/>
      <c r="M29" s="362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</row>
    <row r="30" spans="1:52" s="256" customFormat="1" x14ac:dyDescent="0.3">
      <c r="B30" s="276"/>
      <c r="C30" s="276"/>
      <c r="D30" s="276"/>
      <c r="E30" s="276"/>
      <c r="F30" s="276"/>
      <c r="G30" s="276"/>
      <c r="H30" s="276"/>
      <c r="I30" s="276"/>
      <c r="J30" s="339"/>
      <c r="K30" s="339"/>
      <c r="L30" s="340"/>
      <c r="M30" s="362"/>
      <c r="N30" s="232"/>
      <c r="O30" s="232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</row>
    <row r="31" spans="1:52" x14ac:dyDescent="0.3">
      <c r="B31" s="276"/>
      <c r="C31" s="336"/>
      <c r="D31" s="281"/>
      <c r="E31" s="336"/>
      <c r="F31" s="281"/>
      <c r="G31" s="281"/>
      <c r="H31" s="281"/>
      <c r="I31" s="281"/>
      <c r="J31" s="338"/>
      <c r="K31" s="338"/>
      <c r="L31" s="336"/>
      <c r="M31" s="362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</row>
    <row r="32" spans="1:52" x14ac:dyDescent="0.3">
      <c r="B32" s="335"/>
      <c r="C32" s="336"/>
      <c r="D32" s="281"/>
      <c r="E32" s="336"/>
      <c r="F32" s="281"/>
      <c r="G32" s="281"/>
      <c r="H32" s="281"/>
      <c r="I32" s="281"/>
      <c r="J32" s="338"/>
      <c r="K32" s="338"/>
      <c r="L32" s="336"/>
      <c r="M32" s="362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</row>
    <row r="33" spans="2:52" x14ac:dyDescent="0.3">
      <c r="B33" s="341"/>
      <c r="C33" s="336"/>
      <c r="D33" s="281"/>
      <c r="E33" s="341"/>
      <c r="F33" s="281"/>
      <c r="G33" s="281"/>
      <c r="H33" s="281"/>
      <c r="I33" s="281"/>
      <c r="J33" s="338"/>
      <c r="K33" s="338"/>
      <c r="L33" s="336"/>
      <c r="M33" s="362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</row>
    <row r="34" spans="2:52" x14ac:dyDescent="0.3">
      <c r="B34" s="276"/>
      <c r="C34" s="336"/>
      <c r="D34" s="281"/>
      <c r="E34" s="341"/>
      <c r="F34" s="281"/>
      <c r="G34" s="281"/>
      <c r="H34" s="281"/>
      <c r="I34" s="281"/>
      <c r="J34" s="338"/>
      <c r="K34" s="338"/>
      <c r="L34" s="336"/>
      <c r="M34" s="362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</row>
    <row r="35" spans="2:52" x14ac:dyDescent="0.3">
      <c r="B35" s="276"/>
      <c r="C35" s="276"/>
      <c r="D35" s="281"/>
      <c r="E35" s="336"/>
      <c r="F35" s="281"/>
      <c r="G35" s="281"/>
      <c r="H35" s="281"/>
      <c r="I35" s="281"/>
      <c r="J35" s="338"/>
      <c r="K35" s="338"/>
      <c r="L35" s="336"/>
      <c r="M35" s="362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</row>
    <row r="36" spans="2:52" x14ac:dyDescent="0.3">
      <c r="B36" s="276"/>
      <c r="C36" s="276"/>
      <c r="D36" s="281"/>
      <c r="E36" s="336"/>
      <c r="F36" s="281"/>
      <c r="G36" s="281"/>
      <c r="H36" s="281"/>
      <c r="I36" s="281"/>
      <c r="J36" s="338"/>
      <c r="K36" s="338"/>
      <c r="L36" s="336"/>
      <c r="M36" s="362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</row>
    <row r="37" spans="2:52" x14ac:dyDescent="0.3">
      <c r="B37" s="276"/>
      <c r="C37" s="276"/>
      <c r="D37" s="281"/>
      <c r="E37" s="336"/>
      <c r="F37" s="281"/>
      <c r="G37" s="281"/>
      <c r="H37" s="281"/>
      <c r="I37" s="281"/>
      <c r="J37" s="338"/>
      <c r="K37" s="338"/>
      <c r="L37" s="336"/>
      <c r="M37" s="362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</row>
    <row r="38" spans="2:52" x14ac:dyDescent="0.3">
      <c r="B38" s="256"/>
      <c r="C38" s="256"/>
    </row>
    <row r="39" spans="2:52" x14ac:dyDescent="0.3">
      <c r="B39" s="256"/>
      <c r="C39" s="256"/>
    </row>
    <row r="41" spans="2:52" s="256" customFormat="1" x14ac:dyDescent="0.3">
      <c r="B41" s="278"/>
      <c r="C41" s="282"/>
      <c r="E41" s="282"/>
      <c r="J41" s="275"/>
      <c r="K41" s="275"/>
      <c r="L41" s="282"/>
      <c r="M41" s="361"/>
      <c r="N41" s="232"/>
      <c r="O41" s="232"/>
    </row>
    <row r="42" spans="2:52" s="256" customFormat="1" x14ac:dyDescent="0.3">
      <c r="C42" s="282"/>
      <c r="E42" s="282"/>
      <c r="J42" s="275"/>
      <c r="K42" s="275"/>
      <c r="L42" s="282"/>
      <c r="M42" s="361"/>
      <c r="N42" s="232"/>
      <c r="O42" s="232"/>
    </row>
    <row r="43" spans="2:52" x14ac:dyDescent="0.3">
      <c r="B43" s="256"/>
    </row>
  </sheetData>
  <hyperlinks>
    <hyperlink ref="M7" r:id="rId1" xr:uid="{9937B18C-8CD6-4E34-B414-6A24DCA0F859}"/>
    <hyperlink ref="M8" r:id="rId2" xr:uid="{97DDDFAB-89D6-4E5D-85E7-9F8096FB8958}"/>
    <hyperlink ref="M9" r:id="rId3" xr:uid="{0BABDD07-F1A7-4212-B156-4B40F05B792A}"/>
    <hyperlink ref="M10" r:id="rId4" xr:uid="{5D91A6EC-578B-4232-9EB3-D4A566FE66FA}"/>
    <hyperlink ref="M11" r:id="rId5" xr:uid="{25927F09-2FA8-488B-B316-2CA7EE90D9E2}"/>
    <hyperlink ref="M12" r:id="rId6" xr:uid="{627AA5F9-F79D-4766-99EC-246E96FB3AE6}"/>
    <hyperlink ref="M13" r:id="rId7" xr:uid="{BCE126EB-09C8-49C3-9A3D-F5AC459D5B21}"/>
    <hyperlink ref="M14" r:id="rId8" xr:uid="{08A1810A-8D5D-4A5D-81B7-5B2F656EB466}"/>
    <hyperlink ref="M15" r:id="rId9" xr:uid="{C482A9C1-9BD3-479C-BAC7-78D8E00E1DD9}"/>
    <hyperlink ref="M16" r:id="rId10" xr:uid="{F6CC22AA-5C95-4F0F-8AD3-59BB325AD810}"/>
    <hyperlink ref="M17" r:id="rId11" xr:uid="{21CF5A36-E0FB-4D98-BB2F-010C66EDBAE8}"/>
    <hyperlink ref="M18" r:id="rId12" xr:uid="{A15DC71D-57CA-4A91-A5D2-8A422D543734}"/>
    <hyperlink ref="M19" r:id="rId13" xr:uid="{80A9B178-5518-4148-8C03-00C4E258DE5C}"/>
    <hyperlink ref="M26" r:id="rId14" xr:uid="{193BCAB2-73DD-4345-8BCB-C3EE59281C85}"/>
    <hyperlink ref="M27" r:id="rId15" xr:uid="{21B28907-97A2-4740-8E97-B808DDC45EF7}"/>
    <hyperlink ref="M28" r:id="rId16" xr:uid="{D89B14CA-4CA9-417B-A84D-7B4A60FE4340}"/>
    <hyperlink ref="M23" r:id="rId17" xr:uid="{6497B22B-3644-4DC3-A692-C71C3CD0D381}"/>
    <hyperlink ref="M24" r:id="rId18" xr:uid="{8274A12E-1FA0-4F2A-9FF4-2741BF8A38FC}"/>
    <hyperlink ref="M20" r:id="rId19" xr:uid="{3959F85A-925E-4CEB-8320-15915A1C6C7A}"/>
    <hyperlink ref="M21:M22" r:id="rId20" display="https://www.uniroma3.it/ateneo/fondazioni/" xr:uid="{C49D8326-ECD7-452B-80BC-47BF0182C260}"/>
  </hyperlinks>
  <pageMargins left="0.11811023622047245" right="0.11811023622047245" top="0.35433070866141736" bottom="0.35433070866141736" header="0.11811023622047245" footer="0.11811023622047245"/>
  <pageSetup paperSize="9" orientation="landscape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9AC0C10E58C542AEC52CD43E556B8E" ma:contentTypeVersion="14" ma:contentTypeDescription="Creare un nuovo documento." ma:contentTypeScope="" ma:versionID="27e63b080eba1ad5b80385eaaf06616b">
  <xsd:schema xmlns:xsd="http://www.w3.org/2001/XMLSchema" xmlns:xs="http://www.w3.org/2001/XMLSchema" xmlns:p="http://schemas.microsoft.com/office/2006/metadata/properties" xmlns:ns3="99c00e58-76cb-4ddf-9299-f9fd7071a01d" xmlns:ns4="5ea26748-fce3-41bb-943b-05d60d5795d0" targetNamespace="http://schemas.microsoft.com/office/2006/metadata/properties" ma:root="true" ma:fieldsID="56ddb663ef7e719fe31c84b13c2166d4" ns3:_="" ns4:_="">
    <xsd:import namespace="99c00e58-76cb-4ddf-9299-f9fd7071a01d"/>
    <xsd:import namespace="5ea26748-fce3-41bb-943b-05d60d5795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00e58-76cb-4ddf-9299-f9fd7071a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6748-fce3-41bb-943b-05d60d5795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04C55-9835-4076-A666-FE4209CFCD49}">
  <ds:schemaRefs>
    <ds:schemaRef ds:uri="99c00e58-76cb-4ddf-9299-f9fd7071a01d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ea26748-fce3-41bb-943b-05d60d5795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FC205C-5199-4508-8295-702222308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552BC-C7B7-4B63-BD2D-34B38DFBA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00e58-76cb-4ddf-9299-f9fd7071a01d"/>
    <ds:schemaRef ds:uri="5ea26748-fce3-41bb-943b-05d60d5795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Universit? degli Studi Roma 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Giorgio</dc:creator>
  <cp:lastModifiedBy>Marco Mattiuzzo</cp:lastModifiedBy>
  <cp:lastPrinted>2022-05-31T09:29:03Z</cp:lastPrinted>
  <dcterms:created xsi:type="dcterms:W3CDTF">2022-05-26T15:18:01Z</dcterms:created>
  <dcterms:modified xsi:type="dcterms:W3CDTF">2022-10-26T14:31:33Z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0x0101003A9AC0C10E58C542AEC52CD43E556B8E</vt:lpwstr>
  </property>
</Properties>
</file>